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653"/>
  </bookViews>
  <sheets>
    <sheet name="1.1. Pob.mun. y tot. mig" sheetId="17" r:id="rId1"/>
    <sheet name="1.2. Tasas crecimiento inmi." sheetId="12" r:id="rId2"/>
    <sheet name="1.3. Inmig prin." sheetId="3" r:id="rId3"/>
    <sheet name="1.4. Emig. prin." sheetId="14" r:id="rId4"/>
    <sheet name="1.5. Sexo y edad" sheetId="2" r:id="rId5"/>
    <sheet name="1.6. Stock migratorio" sheetId="18" r:id="rId6"/>
  </sheets>
  <definedNames>
    <definedName name="_xlnm._FilterDatabase" localSheetId="2" hidden="1">'1.3. Inmig prin.'!$C$9:$J$9</definedName>
    <definedName name="_xlnm._FilterDatabase" localSheetId="3" hidden="1">'1.4. Emig. prin.'!$C$9:$J$9</definedName>
  </definedNames>
  <calcPr calcId="145621"/>
</workbook>
</file>

<file path=xl/calcChain.xml><?xml version="1.0" encoding="utf-8"?>
<calcChain xmlns="http://schemas.openxmlformats.org/spreadsheetml/2006/main">
  <c r="F27" i="18" l="1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6" i="18"/>
  <c r="E28" i="18"/>
  <c r="E29" i="18"/>
  <c r="F28" i="18" l="1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27" i="18" s="1"/>
  <c r="F29" i="18" l="1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48" i="2"/>
  <c r="H49" i="2"/>
  <c r="H50" i="2"/>
  <c r="H51" i="2"/>
  <c r="H57" i="2"/>
  <c r="H58" i="2"/>
  <c r="H59" i="2"/>
  <c r="F63" i="2"/>
  <c r="H63" i="2" s="1"/>
  <c r="F62" i="2"/>
  <c r="H62" i="2" s="1"/>
  <c r="F61" i="2"/>
  <c r="H61" i="2" s="1"/>
  <c r="F60" i="2"/>
  <c r="H60" i="2" s="1"/>
  <c r="F59" i="2"/>
  <c r="F58" i="2"/>
  <c r="F57" i="2"/>
  <c r="F56" i="2"/>
  <c r="H56" i="2" s="1"/>
  <c r="F55" i="2"/>
  <c r="H55" i="2" s="1"/>
  <c r="F54" i="2"/>
  <c r="H54" i="2" s="1"/>
  <c r="F53" i="2"/>
  <c r="H53" i="2" s="1"/>
  <c r="F52" i="2"/>
  <c r="H52" i="2" s="1"/>
  <c r="F51" i="2"/>
  <c r="F50" i="2"/>
  <c r="F49" i="2"/>
  <c r="F48" i="2"/>
  <c r="H48" i="2" s="1"/>
  <c r="J31" i="2"/>
  <c r="J32" i="2"/>
  <c r="J38" i="2"/>
  <c r="J39" i="2"/>
  <c r="J40" i="2"/>
  <c r="J30" i="2"/>
  <c r="H36" i="2"/>
  <c r="H37" i="2"/>
  <c r="F45" i="2"/>
  <c r="J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J37" i="2" s="1"/>
  <c r="F36" i="2"/>
  <c r="J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J15" i="2"/>
  <c r="J16" i="2"/>
  <c r="J18" i="2"/>
  <c r="J23" i="2"/>
  <c r="F12" i="2"/>
  <c r="H12" i="2" s="1"/>
  <c r="F27" i="2"/>
  <c r="J27" i="2" s="1"/>
  <c r="F26" i="2"/>
  <c r="H26" i="2" s="1"/>
  <c r="F25" i="2"/>
  <c r="H25" i="2" s="1"/>
  <c r="F24" i="2"/>
  <c r="H24" i="2" s="1"/>
  <c r="F23" i="2"/>
  <c r="H23" i="2" s="1"/>
  <c r="F22" i="2"/>
  <c r="J22" i="2" s="1"/>
  <c r="F21" i="2"/>
  <c r="H21" i="2" s="1"/>
  <c r="F20" i="2"/>
  <c r="H20" i="2" s="1"/>
  <c r="F19" i="2"/>
  <c r="J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J8" i="2"/>
  <c r="D9" i="2"/>
  <c r="D8" i="2"/>
  <c r="F9" i="2"/>
  <c r="F8" i="2"/>
  <c r="F7" i="2"/>
  <c r="T10" i="17"/>
  <c r="J26" i="2" l="1"/>
  <c r="F29" i="2"/>
  <c r="H30" i="2"/>
  <c r="J44" i="2"/>
  <c r="J25" i="2"/>
  <c r="H45" i="2"/>
  <c r="J43" i="2"/>
  <c r="J35" i="2"/>
  <c r="J9" i="2"/>
  <c r="J24" i="2"/>
  <c r="J42" i="2"/>
  <c r="J34" i="2"/>
  <c r="J41" i="2"/>
  <c r="J33" i="2"/>
  <c r="J17" i="2"/>
  <c r="H27" i="2"/>
  <c r="H22" i="2"/>
  <c r="H19" i="2"/>
  <c r="J14" i="2"/>
  <c r="J21" i="2"/>
  <c r="J13" i="2"/>
  <c r="J12" i="2"/>
  <c r="J20" i="2"/>
  <c r="J7" i="2"/>
  <c r="H7" i="2"/>
  <c r="H8" i="2"/>
  <c r="H9" i="2"/>
  <c r="J8" i="3" l="1"/>
  <c r="J7" i="3"/>
  <c r="F7" i="14" l="1"/>
  <c r="H7" i="14" s="1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H25" i="14" l="1"/>
  <c r="J25" i="14"/>
  <c r="J10" i="14"/>
  <c r="H10" i="14"/>
  <c r="H26" i="14"/>
  <c r="J26" i="14"/>
  <c r="J12" i="14"/>
  <c r="H12" i="14"/>
  <c r="J20" i="14"/>
  <c r="H20" i="14"/>
  <c r="J28" i="14"/>
  <c r="H28" i="14"/>
  <c r="J13" i="14"/>
  <c r="H13" i="14"/>
  <c r="J21" i="14"/>
  <c r="H21" i="14"/>
  <c r="J29" i="14"/>
  <c r="H29" i="14"/>
  <c r="J14" i="14"/>
  <c r="H14" i="14"/>
  <c r="J22" i="14"/>
  <c r="H22" i="14"/>
  <c r="J15" i="14"/>
  <c r="H15" i="14"/>
  <c r="H23" i="14"/>
  <c r="J23" i="14"/>
  <c r="H16" i="14"/>
  <c r="J16" i="14"/>
  <c r="H24" i="14"/>
  <c r="J24" i="14"/>
  <c r="J17" i="14"/>
  <c r="H17" i="14"/>
  <c r="J18" i="14"/>
  <c r="H18" i="14"/>
  <c r="J11" i="14"/>
  <c r="H11" i="14"/>
  <c r="J19" i="14"/>
  <c r="H19" i="14"/>
  <c r="J27" i="14"/>
  <c r="H27" i="14"/>
  <c r="J31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0" i="3"/>
  <c r="H7" i="3"/>
  <c r="D12" i="3"/>
  <c r="D11" i="3"/>
  <c r="F28" i="3" l="1"/>
  <c r="F27" i="3"/>
  <c r="F7" i="3"/>
  <c r="F29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O23" i="12" l="1"/>
  <c r="O24" i="12"/>
  <c r="O25" i="12"/>
  <c r="O26" i="12"/>
  <c r="O27" i="12"/>
  <c r="O28" i="12"/>
  <c r="O29" i="12"/>
  <c r="O30" i="12"/>
  <c r="O22" i="12"/>
  <c r="O15" i="12"/>
  <c r="O16" i="12"/>
  <c r="O17" i="12"/>
  <c r="O18" i="12"/>
  <c r="O19" i="12"/>
  <c r="O20" i="12"/>
  <c r="O14" i="12"/>
  <c r="O11" i="12"/>
  <c r="O12" i="12"/>
  <c r="O10" i="12"/>
  <c r="M23" i="12"/>
  <c r="M24" i="12"/>
  <c r="M25" i="12"/>
  <c r="M26" i="12"/>
  <c r="M27" i="12"/>
  <c r="M28" i="12"/>
  <c r="M29" i="12"/>
  <c r="M30" i="12"/>
  <c r="M22" i="12"/>
  <c r="M15" i="12"/>
  <c r="M16" i="12"/>
  <c r="M17" i="12"/>
  <c r="M18" i="12"/>
  <c r="M19" i="12"/>
  <c r="M20" i="12"/>
  <c r="M14" i="12"/>
  <c r="M11" i="12"/>
  <c r="M12" i="12"/>
  <c r="M10" i="12"/>
  <c r="I22" i="12"/>
  <c r="I30" i="12"/>
  <c r="I29" i="12"/>
  <c r="I28" i="12"/>
  <c r="I27" i="12"/>
  <c r="I26" i="12"/>
  <c r="I25" i="12"/>
  <c r="I24" i="12"/>
  <c r="I23" i="12"/>
  <c r="H26" i="12"/>
  <c r="H22" i="12"/>
  <c r="H30" i="12"/>
  <c r="H29" i="12"/>
  <c r="H28" i="12"/>
  <c r="H27" i="12"/>
  <c r="H25" i="12"/>
  <c r="H24" i="12"/>
  <c r="H23" i="12"/>
  <c r="F22" i="12"/>
  <c r="G22" i="12"/>
  <c r="G30" i="12"/>
  <c r="G29" i="12"/>
  <c r="G28" i="12"/>
  <c r="G27" i="12"/>
  <c r="G26" i="12"/>
  <c r="G25" i="12"/>
  <c r="G24" i="12"/>
  <c r="G23" i="12"/>
  <c r="F30" i="12" l="1"/>
  <c r="F29" i="12"/>
  <c r="F28" i="12"/>
  <c r="F27" i="12"/>
  <c r="F26" i="12"/>
  <c r="F25" i="12"/>
  <c r="F24" i="12"/>
  <c r="F23" i="12"/>
  <c r="I20" i="12" l="1"/>
  <c r="I14" i="12"/>
  <c r="I19" i="12"/>
  <c r="I18" i="12"/>
  <c r="I17" i="12"/>
  <c r="I16" i="12"/>
  <c r="I15" i="12"/>
  <c r="H20" i="12"/>
  <c r="H19" i="12"/>
  <c r="H18" i="12"/>
  <c r="H17" i="12"/>
  <c r="H16" i="12"/>
  <c r="H15" i="12"/>
  <c r="G20" i="12"/>
  <c r="G19" i="12"/>
  <c r="G18" i="12"/>
  <c r="G17" i="12"/>
  <c r="G16" i="12"/>
  <c r="G15" i="12"/>
  <c r="F14" i="12"/>
  <c r="F20" i="12"/>
  <c r="F19" i="12"/>
  <c r="F18" i="12"/>
  <c r="F17" i="12"/>
  <c r="F16" i="12"/>
  <c r="F15" i="12"/>
  <c r="I12" i="12" l="1"/>
  <c r="I11" i="12"/>
  <c r="I10" i="12"/>
  <c r="H12" i="12"/>
  <c r="H11" i="12"/>
  <c r="H10" i="12"/>
  <c r="G12" i="12"/>
  <c r="G11" i="12"/>
  <c r="G10" i="12"/>
  <c r="F12" i="12"/>
  <c r="F11" i="12"/>
  <c r="F10" i="12"/>
  <c r="S21" i="17"/>
  <c r="T21" i="17"/>
  <c r="J20" i="17"/>
  <c r="Q21" i="17"/>
  <c r="P21" i="17"/>
  <c r="P20" i="17"/>
  <c r="P19" i="17"/>
  <c r="N21" i="17"/>
  <c r="N11" i="17"/>
  <c r="N12" i="17"/>
  <c r="N13" i="17"/>
  <c r="N14" i="17"/>
  <c r="N15" i="17"/>
  <c r="N16" i="17"/>
  <c r="N17" i="17"/>
  <c r="N18" i="17"/>
  <c r="N19" i="17"/>
  <c r="N20" i="17"/>
  <c r="N10" i="17"/>
  <c r="M21" i="17"/>
  <c r="M20" i="17"/>
  <c r="M11" i="17"/>
  <c r="M10" i="17"/>
  <c r="J21" i="17"/>
  <c r="J19" i="17"/>
  <c r="J18" i="17"/>
  <c r="J17" i="17"/>
  <c r="J16" i="17"/>
  <c r="J15" i="17"/>
  <c r="I21" i="17"/>
  <c r="I20" i="17"/>
  <c r="I19" i="17"/>
  <c r="I18" i="17"/>
  <c r="I17" i="17"/>
  <c r="I16" i="17"/>
  <c r="I15" i="17"/>
  <c r="G21" i="17"/>
  <c r="G20" i="17"/>
  <c r="G19" i="17"/>
  <c r="G18" i="17"/>
  <c r="G17" i="17"/>
  <c r="G16" i="17"/>
  <c r="G15" i="17"/>
  <c r="F21" i="17"/>
  <c r="F20" i="17"/>
  <c r="F19" i="17"/>
  <c r="F18" i="17"/>
  <c r="F17" i="17"/>
  <c r="F16" i="17"/>
  <c r="F15" i="17"/>
  <c r="D21" i="17"/>
  <c r="D20" i="17"/>
  <c r="D19" i="17"/>
  <c r="D18" i="17"/>
  <c r="D17" i="17"/>
  <c r="D14" i="17"/>
  <c r="D15" i="17"/>
  <c r="D16" i="17"/>
  <c r="H14" i="12" l="1"/>
  <c r="G14" i="12"/>
  <c r="T20" i="17" l="1"/>
  <c r="Q19" i="17"/>
  <c r="M19" i="17"/>
  <c r="M18" i="17"/>
  <c r="M17" i="17"/>
  <c r="M16" i="17"/>
  <c r="M15" i="17"/>
  <c r="T15" i="17"/>
  <c r="S15" i="17"/>
  <c r="Q15" i="17"/>
  <c r="T14" i="17"/>
  <c r="S14" i="17"/>
  <c r="M14" i="17"/>
  <c r="G14" i="17"/>
  <c r="F14" i="17"/>
  <c r="T13" i="17"/>
  <c r="S13" i="17"/>
  <c r="M13" i="17"/>
  <c r="G13" i="17"/>
  <c r="F13" i="17"/>
  <c r="P14" i="17" s="1"/>
  <c r="D13" i="17"/>
  <c r="T12" i="17"/>
  <c r="S12" i="17"/>
  <c r="M12" i="17"/>
  <c r="G12" i="17"/>
  <c r="F12" i="17"/>
  <c r="D12" i="17"/>
  <c r="T11" i="17"/>
  <c r="S11" i="17"/>
  <c r="G11" i="17"/>
  <c r="F11" i="17"/>
  <c r="D11" i="17"/>
  <c r="S10" i="17"/>
  <c r="G10" i="17"/>
  <c r="F10" i="17"/>
  <c r="D10" i="17"/>
  <c r="G9" i="17"/>
  <c r="F9" i="17"/>
  <c r="D9" i="17"/>
  <c r="Q12" i="17" l="1"/>
  <c r="T17" i="17"/>
  <c r="Q20" i="17"/>
  <c r="S20" i="17"/>
  <c r="P18" i="17"/>
  <c r="Q11" i="17"/>
  <c r="S17" i="17"/>
  <c r="P15" i="17"/>
  <c r="Q14" i="17"/>
  <c r="P12" i="17"/>
  <c r="P11" i="17"/>
  <c r="Q18" i="17"/>
  <c r="T19" i="17"/>
  <c r="Q13" i="17"/>
  <c r="S16" i="17"/>
  <c r="P10" i="17"/>
  <c r="Q10" i="17"/>
  <c r="P13" i="17"/>
  <c r="P16" i="17"/>
  <c r="Q17" i="17"/>
  <c r="S19" i="17"/>
  <c r="T16" i="17"/>
  <c r="P17" i="17"/>
  <c r="S18" i="17"/>
  <c r="Q16" i="17"/>
  <c r="T18" i="17"/>
  <c r="F47" i="2" l="1"/>
  <c r="D47" i="2"/>
  <c r="D29" i="2"/>
  <c r="H29" i="2" s="1"/>
  <c r="H47" i="2" l="1"/>
  <c r="D11" i="2"/>
  <c r="F11" i="2"/>
  <c r="H11" i="2" s="1"/>
  <c r="F8" i="14" l="1"/>
  <c r="D8" i="14"/>
  <c r="D31" i="14" s="1"/>
  <c r="D8" i="3"/>
  <c r="D31" i="3" s="1"/>
  <c r="F8" i="3"/>
  <c r="H8" i="14" l="1"/>
  <c r="J8" i="14"/>
  <c r="F31" i="3"/>
  <c r="H31" i="3" s="1"/>
  <c r="H8" i="3"/>
  <c r="F31" i="14"/>
  <c r="H31" i="14" l="1"/>
  <c r="J7" i="14"/>
  <c r="J31" i="14"/>
</calcChain>
</file>

<file path=xl/sharedStrings.xml><?xml version="1.0" encoding="utf-8"?>
<sst xmlns="http://schemas.openxmlformats.org/spreadsheetml/2006/main" count="243" uniqueCount="134">
  <si>
    <t>Hombres</t>
  </si>
  <si>
    <t>Mujeres</t>
  </si>
  <si>
    <t>Total</t>
  </si>
  <si>
    <t xml:space="preserve">   0-4</t>
  </si>
  <si>
    <t xml:space="preserve">   5-9</t>
  </si>
  <si>
    <t xml:space="preserve">   10-14</t>
  </si>
  <si>
    <t xml:space="preserve">   15-19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</si>
  <si>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</si>
  <si>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</si>
  <si>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</si>
  <si>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</si>
  <si>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</si>
  <si>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</si>
  <si>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 xml:space="preserve">   50-54</t>
  </si>
  <si>
    <t xml:space="preserve">   55-59</t>
  </si>
  <si>
    <t xml:space="preserve">   60-64</t>
  </si>
  <si>
    <t>..</t>
  </si>
  <si>
    <t>Año</t>
  </si>
  <si>
    <t>Población migrante por sexo</t>
  </si>
  <si>
    <t>Distribución porcentual
de los inmigrantes</t>
  </si>
  <si>
    <t>Subtotal</t>
  </si>
  <si>
    <t>Estados Unidos de América</t>
  </si>
  <si>
    <t>Rusia</t>
  </si>
  <si>
    <t>Alemania</t>
  </si>
  <si>
    <t>Arabia Saudita</t>
  </si>
  <si>
    <t>Canadá</t>
  </si>
  <si>
    <t>Francia</t>
  </si>
  <si>
    <t>España</t>
  </si>
  <si>
    <t>India</t>
  </si>
  <si>
    <t>Ucrania</t>
  </si>
  <si>
    <t>Australia</t>
  </si>
  <si>
    <t>Italia</t>
  </si>
  <si>
    <t>Pakistán</t>
  </si>
  <si>
    <t>Jordania</t>
  </si>
  <si>
    <t>Otros países</t>
  </si>
  <si>
    <t>Regiones del mundo y
áreas geográficas</t>
  </si>
  <si>
    <t>Variación</t>
  </si>
  <si>
    <t>Tasa de</t>
  </si>
  <si>
    <t>absoluta</t>
  </si>
  <si>
    <t>crecimiento</t>
  </si>
  <si>
    <r>
      <t>Regiones desarrolladas</t>
    </r>
    <r>
      <rPr>
        <vertAlign val="superscript"/>
        <sz val="10"/>
        <rFont val="Calibri"/>
        <family val="2"/>
        <scheme val="minor"/>
      </rPr>
      <t>1</t>
    </r>
  </si>
  <si>
    <t>África</t>
  </si>
  <si>
    <t>Asia</t>
  </si>
  <si>
    <t>Europa</t>
  </si>
  <si>
    <t>América Latina y el Caribe</t>
  </si>
  <si>
    <t>Norte América</t>
  </si>
  <si>
    <t>Oceanía</t>
  </si>
  <si>
    <r>
      <t>Regiones menos desarrolladas</t>
    </r>
    <r>
      <rPr>
        <sz val="10"/>
        <rFont val="Calibri"/>
        <family val="2"/>
      </rPr>
      <t>²</t>
    </r>
  </si>
  <si>
    <t>²⁾ Las regiones menos desarrolladas abarcan todas las regiones de África, Asia (excepto Japón), América Latina y el Caribe, Melanesia, Micronesia y Polinesia.</t>
  </si>
  <si>
    <t>Afganistán</t>
  </si>
  <si>
    <t>México</t>
  </si>
  <si>
    <t>Bangladesh</t>
  </si>
  <si>
    <t>Emiratos Árabes Unidos</t>
  </si>
  <si>
    <t>Filipinas</t>
  </si>
  <si>
    <t>Turquía</t>
  </si>
  <si>
    <t>Polonia</t>
  </si>
  <si>
    <t>Egipto</t>
  </si>
  <si>
    <t>Palestina</t>
  </si>
  <si>
    <t>Tailandia</t>
  </si>
  <si>
    <t>Rumania</t>
  </si>
  <si>
    <t>Indonesia</t>
  </si>
  <si>
    <t>China</t>
  </si>
  <si>
    <t>Kazajstán</t>
  </si>
  <si>
    <t>República Árabe Siria</t>
  </si>
  <si>
    <t>Reino Unido¹</t>
  </si>
  <si>
    <t>Nota: ¹⁾ Reino Unido esta conformado por: Gran Bretaña e Irlanda del Norte</t>
  </si>
  <si>
    <t>Nota: ¹⁾Reino Unido esta conformado por: Gran Bretaña e Irlanda del Norte</t>
  </si>
  <si>
    <t>Población Mundial (miles)</t>
  </si>
  <si>
    <t>Inmigrantes como porcentaje de la población mundial</t>
  </si>
  <si>
    <t>(2005-2015)</t>
  </si>
  <si>
    <t>Áreas geográficas destino</t>
  </si>
  <si>
    <t xml:space="preserve">Regiones del mundo </t>
  </si>
  <si>
    <t>Áreas geográficas origen</t>
  </si>
  <si>
    <t>Otro norte</t>
  </si>
  <si>
    <t>Otro sur</t>
  </si>
  <si>
    <t>65-69</t>
  </si>
  <si>
    <t>70-74</t>
  </si>
  <si>
    <t>75+</t>
  </si>
  <si>
    <t>http://www.un.org/en/development/desa/population/migration/data/empirical2/index.shtml</t>
  </si>
  <si>
    <t>Destino</t>
  </si>
  <si>
    <t>Estados Unidos</t>
  </si>
  <si>
    <t>Origen</t>
  </si>
  <si>
    <t>Paises (Destino)</t>
  </si>
  <si>
    <t>Paises (Origen)</t>
  </si>
  <si>
    <t>Migrantes como porcentaje de la población mundial</t>
  </si>
  <si>
    <t>Distribución porcentual
de los migrantes</t>
  </si>
  <si>
    <t>Myanmar</t>
  </si>
  <si>
    <t>Puerto Rico</t>
  </si>
  <si>
    <t>Población mundial</t>
  </si>
  <si>
    <t xml:space="preserve">Total de migrantes </t>
  </si>
  <si>
    <t xml:space="preserve"> Nivel de desarrollo</t>
  </si>
  <si>
    <t>Total de migrantes</t>
  </si>
  <si>
    <r>
      <t>Regiones más desarrolladas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</si>
  <si>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Regiones menos desarolladas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</si>
  <si>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 xml:space="preserve">Notas: </t>
    </r>
    <r>
      <rPr>
        <sz val="9"/>
        <color indexed="8"/>
        <rFont val="Calibri"/>
        <family val="2"/>
      </rPr>
      <t>¹⁾</t>
    </r>
    <r>
      <rPr>
        <sz val="9"/>
        <color indexed="8"/>
        <rFont val="Calibri"/>
        <family val="2"/>
        <scheme val="minor"/>
      </rPr>
      <t xml:space="preserve"> Incluye: Europa y América del Norte, Australia, Nueva Zelanda y Japón</t>
    </r>
  </si>
  <si>
    <t>#</t>
  </si>
  <si>
    <t>Grupos de Edad (Hombres)¹</t>
  </si>
  <si>
    <t>Grupos de Edad (Mujeres)¹</t>
  </si>
  <si>
    <t>Absoluto (miles)</t>
  </si>
  <si>
    <t>%</t>
  </si>
  <si>
    <t>Población emigrante (miles)</t>
  </si>
  <si>
    <t>Emigrantes como porcentaje de la población mundial</t>
  </si>
  <si>
    <t>Distribución porcentual
de los emigrantes</t>
  </si>
  <si>
    <t>Grupo de edad y sexo</t>
  </si>
  <si>
    <t>Migrantes 
(miles)</t>
  </si>
  <si>
    <t>Población mundial (miles)</t>
  </si>
  <si>
    <t>Población inmigrante
(miles)</t>
  </si>
  <si>
    <t>Población migrante
(miles)</t>
  </si>
  <si>
    <t>Población en miles</t>
  </si>
  <si>
    <t>Regiones y nivel de desarrollo</t>
  </si>
  <si>
    <r>
      <rPr>
        <vertAlign val="superscript"/>
        <sz val="9"/>
        <color indexed="8"/>
        <rFont val="Calibri"/>
        <family val="2"/>
      </rPr>
      <t>3)</t>
    </r>
    <r>
      <rPr>
        <sz val="9"/>
        <color indexed="8"/>
        <rFont val="Calibri"/>
        <family val="2"/>
      </rPr>
      <t xml:space="preserve"> Las categorias son elaboradas por la fuente de información. “Otro Norte” y “Otro Sur” contienen un conjunto de datos que incluye un origen que no formaba parte de la lista estándar de los países o áreas. Para revisar la metodología veáse: http://unstats.un.org/unsd/methods/m49/m49regin.htm y http://www.un.org/en/development/desa/population/migration/data/estimates2/docs/MigrationStockDocumentation_2015.pdf</t>
    </r>
  </si>
  <si>
    <t xml:space="preserve">1.2. Tasas de crecimiento de los migrantes internacionales según nivel de desarrollo de las regiones y áreas geográficas (origen-destino), 2005 - 2017  </t>
  </si>
  <si>
    <t>1.1. Total de la población mundial y migrante según sexo y nivel de desarrollo regional de destino, 1960 - 2017</t>
  </si>
  <si>
    <t>(2005-2017)</t>
  </si>
  <si>
    <r>
      <t xml:space="preserve">Fuente: Estimaciones del CONAPO con base en </t>
    </r>
    <r>
      <rPr>
        <i/>
        <sz val="9"/>
        <color theme="1"/>
        <rFont val="Calibri"/>
        <family val="2"/>
        <scheme val="minor"/>
      </rPr>
      <t xml:space="preserve">United Nations, Population Division Department of Economic and Social Affairs, International Migration: The Revision 2017, </t>
    </r>
    <r>
      <rPr>
        <sz val="9"/>
        <color theme="1"/>
        <rFont val="Calibri"/>
        <family val="2"/>
        <scheme val="minor"/>
      </rPr>
      <t>consultado en enero 2018</t>
    </r>
  </si>
  <si>
    <t>1.3. Población mundial e inmigrantes, según los 20 principales países de destino, 2017</t>
  </si>
  <si>
    <t>Sudáfrica</t>
  </si>
  <si>
    <t>Kuwait</t>
  </si>
  <si>
    <r>
      <t xml:space="preserve">Fuente: Estimaciones del CONAPO con base en </t>
    </r>
    <r>
      <rPr>
        <i/>
        <sz val="9"/>
        <color theme="1"/>
        <rFont val="Calibri"/>
        <family val="2"/>
        <scheme val="minor"/>
      </rPr>
      <t>United Nations, Population Division Department of Economic and Social Affairs, International Migration.</t>
    </r>
    <r>
      <rPr>
        <sz val="9"/>
        <color theme="1"/>
        <rFont val="Calibri"/>
        <family val="2"/>
        <scheme val="minor"/>
      </rPr>
      <t xml:space="preserve"> Revisión 2017, consultado en enero 2018</t>
    </r>
  </si>
  <si>
    <r>
      <t xml:space="preserve">Fuente: Elaborado por el CONAPO con base en </t>
    </r>
    <r>
      <rPr>
        <i/>
        <sz val="9"/>
        <color theme="1"/>
        <rFont val="Calibri"/>
        <family val="2"/>
        <scheme val="minor"/>
      </rPr>
      <t>United Nations, Department of Economic and Social Affairs, Population Division, International Migration. Revisión 2017,</t>
    </r>
    <r>
      <rPr>
        <sz val="9"/>
        <color theme="1"/>
        <rFont val="Calibri"/>
        <family val="2"/>
        <scheme val="minor"/>
      </rPr>
      <t xml:space="preserve"> consultado en enero 2018</t>
    </r>
  </si>
  <si>
    <t>1.4. Población mundial y emigrante, según los 20 principales países de origen, 2017</t>
  </si>
  <si>
    <t>1.5. Migrantes internacionales según sexo y edad, 2017</t>
  </si>
  <si>
    <r>
      <t>Sexo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</si>
  <si>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Population estimates by sex are not available for some small countries or areas. Consequently, aggregates may not add up.</t>
    </r>
  </si>
  <si>
    <r>
      <rPr>
        <vertAlign val="superscript"/>
        <sz val="9"/>
        <color theme="1"/>
        <rFont val="Calibri"/>
        <family val="2"/>
        <scheme val="minor"/>
      </rPr>
      <t xml:space="preserve">2 </t>
    </r>
    <r>
      <rPr>
        <sz val="9"/>
        <color theme="1"/>
        <rFont val="Calibri"/>
        <family val="2"/>
        <scheme val="minor"/>
      </rPr>
      <t>Existe una variación entre el total por sexo y el total de grupos de Edad.</t>
    </r>
  </si>
  <si>
    <r>
      <t>Grupos de Edad</t>
    </r>
    <r>
      <rPr>
        <b/>
        <vertAlign val="superscript"/>
        <sz val="10"/>
        <color indexed="8"/>
        <rFont val="Calibri"/>
        <family val="2"/>
        <scheme val="minor"/>
      </rPr>
      <t>2</t>
    </r>
  </si>
  <si>
    <t>1.6. Stock migratorio por origen-destino, 2017 (Corredores migratorios)</t>
  </si>
  <si>
    <t>Viet Nam</t>
  </si>
  <si>
    <t>El Salvador</t>
  </si>
  <si>
    <t>República Arabe Siria</t>
  </si>
  <si>
    <t>Argelia</t>
  </si>
  <si>
    <t>Reino Unido</t>
  </si>
  <si>
    <t>Iran (República Islamica)</t>
  </si>
  <si>
    <t xml:space="preserve">Tasa de 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</si>
</sst>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\ ###\ ###\ ##0;\-#\ ###\ ###\ ##0;0"/>
    <numFmt numFmtId="165" formatCode="0.0"/>
    <numFmt numFmtId="166" formatCode="#\ ###\ ###"/>
    <numFmt numFmtId="167" formatCode="_(* #,##0.00_);_(* \(#,##0.00\);_(* &quot;-&quot;??_);_(@_)"/>
    <numFmt numFmtId="168" formatCode="mmm\ dd\,\ yyyy"/>
    <numFmt numFmtId="169" formatCode="0.0\ \ \ \ \ \ \ "/>
    <numFmt numFmtId="170" formatCode="_-* #\ ###\ ##0_-;\-* #\ ###\ ##0_-;_-* &quot;---&quot;_-;_-@_-"/>
    <numFmt numFmtId="171" formatCode="_-* #\ ###\ ##0\ \ \ _-;\-* #\ ###\ ##0\ \ \ _-;_-* &quot;---&quot;_-;_-@_-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u/>
      <sz val="10"/>
      <color indexed="56"/>
      <name val="Times New Roman"/>
      <family val="1"/>
    </font>
    <font>
      <sz val="10"/>
      <name val="Courier New Cyr"/>
      <charset val="204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b/>
      <sz val="11"/>
      <color indexed="8"/>
      <name val="Calibri"/>
      <family val="2"/>
    </font>
    <font>
      <u/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4"/>
      <name val="Calibri"/>
      <family val="2"/>
      <scheme val="minor"/>
    </font>
    <font>
      <vertAlign val="superscript"/>
      <sz val="9"/>
      <color indexed="8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11" fillId="0" borderId="0"/>
    <xf numFmtId="0" fontId="8" fillId="0" borderId="4">
      <alignment horizontal="center" vertical="center"/>
    </xf>
    <xf numFmtId="1" fontId="13" fillId="2" borderId="5">
      <alignment horizontal="right" vertical="center"/>
    </xf>
    <xf numFmtId="0" fontId="13" fillId="3" borderId="5">
      <alignment horizontal="center" vertical="center"/>
    </xf>
    <xf numFmtId="1" fontId="13" fillId="2" borderId="5">
      <alignment horizontal="right" vertical="center"/>
    </xf>
    <xf numFmtId="0" fontId="7" fillId="2" borderId="0"/>
    <xf numFmtId="0" fontId="14" fillId="2" borderId="5">
      <alignment horizontal="left" vertical="center"/>
    </xf>
    <xf numFmtId="167" fontId="7" fillId="0" borderId="0" applyFont="0" applyFill="0" applyBorder="0" applyAlignment="0" applyProtection="0"/>
    <xf numFmtId="165" fontId="8" fillId="0" borderId="0" applyBorder="0"/>
    <xf numFmtId="165" fontId="8" fillId="0" borderId="6"/>
    <xf numFmtId="0" fontId="12" fillId="0" borderId="0"/>
    <xf numFmtId="0" fontId="12" fillId="0" borderId="0">
      <alignment horizontal="left" indent="1"/>
    </xf>
    <xf numFmtId="0" fontId="7" fillId="0" borderId="0">
      <alignment horizontal="left" indent="2"/>
    </xf>
    <xf numFmtId="0" fontId="7" fillId="0" borderId="0">
      <alignment horizontal="left" indent="3"/>
    </xf>
    <xf numFmtId="0" fontId="7" fillId="0" borderId="0">
      <alignment horizontal="left" indent="4"/>
    </xf>
    <xf numFmtId="0" fontId="15" fillId="0" borderId="0" applyNumberFormat="0" applyFill="0" applyBorder="0" applyAlignment="0" applyProtection="0"/>
    <xf numFmtId="0" fontId="16" fillId="0" borderId="0"/>
    <xf numFmtId="0" fontId="1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1" fillId="0" borderId="0">
      <alignment horizontal="left"/>
    </xf>
    <xf numFmtId="9" fontId="7" fillId="0" borderId="0" applyFont="0" applyFill="0" applyBorder="0" applyAlignment="0" applyProtection="0"/>
    <xf numFmtId="0" fontId="8" fillId="0" borderId="3">
      <alignment horizontal="center" vertical="center"/>
    </xf>
    <xf numFmtId="168" fontId="7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22" fillId="0" borderId="0"/>
    <xf numFmtId="0" fontId="23" fillId="0" borderId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23" borderId="8" applyNumberFormat="0" applyAlignment="0" applyProtection="0"/>
    <xf numFmtId="0" fontId="35" fillId="24" borderId="9" applyNumberFormat="0" applyAlignment="0" applyProtection="0"/>
    <xf numFmtId="167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8" applyNumberFormat="0" applyAlignment="0" applyProtection="0"/>
    <xf numFmtId="0" fontId="42" fillId="0" borderId="13" applyNumberFormat="0" applyFill="0" applyAlignment="0" applyProtection="0"/>
    <xf numFmtId="0" fontId="27" fillId="25" borderId="14" applyNumberFormat="0" applyFont="0" applyAlignment="0" applyProtection="0"/>
    <xf numFmtId="0" fontId="43" fillId="23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7" fillId="0" borderId="0"/>
    <xf numFmtId="0" fontId="27" fillId="0" borderId="0"/>
    <xf numFmtId="0" fontId="59" fillId="0" borderId="0"/>
    <xf numFmtId="0" fontId="11" fillId="0" borderId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25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1" fillId="25" borderId="14" applyNumberFormat="0" applyFont="0" applyAlignment="0" applyProtection="0"/>
    <xf numFmtId="0" fontId="11" fillId="0" borderId="0"/>
    <xf numFmtId="0" fontId="11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23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8" applyNumberFormat="0" applyAlignment="0" applyProtection="0"/>
    <xf numFmtId="0" fontId="42" fillId="0" borderId="13" applyNumberFormat="0" applyFill="0" applyAlignment="0" applyProtection="0"/>
    <xf numFmtId="0" fontId="11" fillId="25" borderId="14" applyNumberFormat="0" applyFont="0" applyAlignment="0" applyProtection="0"/>
    <xf numFmtId="0" fontId="43" fillId="23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7" fillId="0" borderId="0"/>
  </cellStyleXfs>
  <cellXfs count="260">
    <xf numFmtId="0" fontId="0" fillId="0" borderId="0" xfId="0"/>
    <xf numFmtId="0" fontId="30" fillId="0" borderId="0" xfId="39" applyFont="1" applyFill="1" applyBorder="1" applyAlignment="1">
      <alignment horizontal="center"/>
    </xf>
    <xf numFmtId="0" fontId="0" fillId="0" borderId="0" xfId="0" applyFill="1" applyBorder="1"/>
    <xf numFmtId="164" fontId="30" fillId="0" borderId="0" xfId="39" applyNumberFormat="1" applyFont="1" applyFill="1" applyBorder="1" applyAlignment="1">
      <alignment horizontal="right"/>
    </xf>
    <xf numFmtId="0" fontId="0" fillId="0" borderId="0" xfId="0"/>
    <xf numFmtId="0" fontId="0" fillId="0" borderId="0" xfId="0" applyBorder="1"/>
    <xf numFmtId="0" fontId="4" fillId="0" borderId="0" xfId="0" applyFont="1" applyFill="1" applyBorder="1"/>
    <xf numFmtId="3" fontId="46" fillId="0" borderId="0" xfId="40" applyNumberFormat="1" applyFont="1" applyFill="1" applyBorder="1" applyAlignment="1">
      <alignment horizontal="left" indent="1"/>
    </xf>
    <xf numFmtId="3" fontId="6" fillId="0" borderId="0" xfId="40" applyNumberFormat="1" applyFont="1" applyFill="1" applyBorder="1" applyAlignment="1">
      <alignment horizontal="left" indent="1"/>
    </xf>
    <xf numFmtId="0" fontId="5" fillId="0" borderId="0" xfId="2" applyFont="1" applyFill="1" applyBorder="1" applyAlignment="1"/>
    <xf numFmtId="49" fontId="5" fillId="0" borderId="0" xfId="2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27" borderId="0" xfId="0" applyFont="1" applyFill="1" applyBorder="1"/>
    <xf numFmtId="0" fontId="4" fillId="27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/>
    </xf>
    <xf numFmtId="0" fontId="3" fillId="27" borderId="0" xfId="2" applyFont="1" applyFill="1" applyBorder="1" applyAlignment="1">
      <alignment horizontal="center" vertical="center"/>
    </xf>
    <xf numFmtId="3" fontId="46" fillId="27" borderId="0" xfId="40" applyNumberFormat="1" applyFont="1" applyFill="1" applyBorder="1" applyAlignment="1"/>
    <xf numFmtId="0" fontId="2" fillId="27" borderId="0" xfId="0" applyFont="1" applyFill="1" applyBorder="1" applyAlignment="1">
      <alignment horizontal="center" vertical="center"/>
    </xf>
    <xf numFmtId="0" fontId="2" fillId="27" borderId="0" xfId="0" applyFont="1" applyFill="1" applyBorder="1"/>
    <xf numFmtId="0" fontId="53" fillId="28" borderId="0" xfId="82" applyFont="1" applyFill="1" applyBorder="1"/>
    <xf numFmtId="0" fontId="0" fillId="0" borderId="0" xfId="0" applyBorder="1"/>
    <xf numFmtId="0" fontId="48" fillId="28" borderId="1" xfId="2" applyFont="1" applyFill="1" applyBorder="1"/>
    <xf numFmtId="0" fontId="48" fillId="0" borderId="0" xfId="2" applyFont="1" applyFill="1" applyAlignment="1">
      <alignment horizontal="center"/>
    </xf>
    <xf numFmtId="171" fontId="48" fillId="28" borderId="0" xfId="2" applyNumberFormat="1" applyFont="1" applyFill="1" applyAlignment="1"/>
    <xf numFmtId="49" fontId="51" fillId="27" borderId="0" xfId="82" applyNumberFormat="1" applyFont="1" applyFill="1" applyBorder="1" applyAlignment="1"/>
    <xf numFmtId="0" fontId="51" fillId="26" borderId="1" xfId="2" applyFont="1" applyFill="1" applyBorder="1" applyAlignment="1">
      <alignment horizontal="center" vertical="center" wrapText="1"/>
    </xf>
    <xf numFmtId="0" fontId="48" fillId="26" borderId="1" xfId="2" applyFont="1" applyFill="1" applyBorder="1" applyAlignment="1">
      <alignment horizontal="center" vertical="center" wrapText="1"/>
    </xf>
    <xf numFmtId="0" fontId="53" fillId="28" borderId="1" xfId="82" applyFont="1" applyFill="1" applyBorder="1"/>
    <xf numFmtId="0" fontId="52" fillId="0" borderId="0" xfId="82" applyFont="1" applyFill="1" applyBorder="1" applyAlignment="1">
      <alignment horizontal="center" vertical="center" wrapText="1"/>
    </xf>
    <xf numFmtId="0" fontId="51" fillId="0" borderId="0" xfId="2" applyFont="1" applyFill="1" applyBorder="1" applyAlignment="1">
      <alignment horizontal="center" vertical="center" wrapText="1"/>
    </xf>
    <xf numFmtId="0" fontId="51" fillId="0" borderId="0" xfId="2" applyFont="1" applyFill="1" applyBorder="1" applyAlignment="1">
      <alignment horizontal="center"/>
    </xf>
    <xf numFmtId="0" fontId="51" fillId="0" borderId="0" xfId="2" applyFont="1" applyFill="1" applyBorder="1" applyAlignment="1">
      <alignment horizontal="center" vertical="center"/>
    </xf>
    <xf numFmtId="0" fontId="51" fillId="0" borderId="0" xfId="2" quotePrefix="1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 wrapText="1"/>
    </xf>
    <xf numFmtId="0" fontId="51" fillId="0" borderId="0" xfId="2" applyFont="1" applyFill="1"/>
    <xf numFmtId="169" fontId="48" fillId="0" borderId="0" xfId="2" quotePrefix="1" applyNumberFormat="1" applyFont="1" applyFill="1" applyAlignment="1">
      <alignment horizontal="center" vertical="center"/>
    </xf>
    <xf numFmtId="0" fontId="26" fillId="0" borderId="0" xfId="0" applyFont="1" applyAlignment="1"/>
    <xf numFmtId="0" fontId="50" fillId="0" borderId="1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6" borderId="2" xfId="0" applyFont="1" applyFill="1" applyBorder="1"/>
    <xf numFmtId="0" fontId="4" fillId="26" borderId="2" xfId="0" applyFont="1" applyFill="1" applyBorder="1" applyAlignment="1">
      <alignment vertical="center" wrapText="1"/>
    </xf>
    <xf numFmtId="0" fontId="4" fillId="26" borderId="2" xfId="0" applyFont="1" applyFill="1" applyBorder="1" applyAlignment="1">
      <alignment horizontal="center" wrapText="1"/>
    </xf>
    <xf numFmtId="0" fontId="2" fillId="26" borderId="0" xfId="0" applyFont="1" applyFill="1" applyBorder="1"/>
    <xf numFmtId="0" fontId="2" fillId="26" borderId="1" xfId="0" applyFont="1" applyFill="1" applyBorder="1"/>
    <xf numFmtId="0" fontId="2" fillId="26" borderId="1" xfId="0" applyFont="1" applyFill="1" applyBorder="1" applyAlignment="1">
      <alignment horizontal="center"/>
    </xf>
    <xf numFmtId="0" fontId="2" fillId="27" borderId="0" xfId="0" applyFont="1" applyFill="1"/>
    <xf numFmtId="0" fontId="7" fillId="0" borderId="0" xfId="2"/>
    <xf numFmtId="0" fontId="8" fillId="0" borderId="0" xfId="2" applyFont="1" applyFill="1" applyBorder="1"/>
    <xf numFmtId="169" fontId="55" fillId="28" borderId="0" xfId="2" applyNumberFormat="1" applyFont="1" applyFill="1" applyBorder="1" applyAlignment="1"/>
    <xf numFmtId="0" fontId="4" fillId="27" borderId="0" xfId="0" applyFont="1" applyFill="1"/>
    <xf numFmtId="0" fontId="2" fillId="0" borderId="0" xfId="0" applyFont="1" applyFill="1" applyBorder="1"/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4" fontId="5" fillId="0" borderId="0" xfId="89" applyNumberFormat="1" applyFont="1" applyFill="1" applyBorder="1" applyAlignment="1">
      <alignment horizontal="center" vertical="center"/>
    </xf>
    <xf numFmtId="0" fontId="0" fillId="26" borderId="0" xfId="0" applyFill="1" applyBorder="1"/>
    <xf numFmtId="0" fontId="54" fillId="26" borderId="0" xfId="0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169" fontId="5" fillId="0" borderId="0" xfId="2" applyNumberFormat="1" applyFont="1" applyFill="1" applyAlignment="1">
      <alignment horizontal="center" vertical="center"/>
    </xf>
    <xf numFmtId="169" fontId="3" fillId="28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horizontal="center" vertical="center"/>
    </xf>
    <xf numFmtId="169" fontId="5" fillId="28" borderId="0" xfId="2" applyNumberFormat="1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9" fontId="5" fillId="28" borderId="1" xfId="2" applyNumberFormat="1" applyFont="1" applyFill="1" applyBorder="1" applyAlignment="1">
      <alignment horizontal="center" vertical="center"/>
    </xf>
    <xf numFmtId="0" fontId="3" fillId="27" borderId="0" xfId="2" applyFont="1" applyFill="1" applyAlignment="1">
      <alignment horizontal="center" vertical="center"/>
    </xf>
    <xf numFmtId="165" fontId="3" fillId="27" borderId="0" xfId="2" applyNumberFormat="1" applyFont="1" applyFill="1" applyAlignment="1">
      <alignment horizontal="center" vertical="center"/>
    </xf>
    <xf numFmtId="1" fontId="3" fillId="27" borderId="0" xfId="2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4" fillId="27" borderId="0" xfId="0" applyNumberFormat="1" applyFont="1" applyFill="1" applyBorder="1" applyAlignment="1">
      <alignment horizontal="center" vertical="center"/>
    </xf>
    <xf numFmtId="0" fontId="60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27" borderId="0" xfId="89" applyNumberFormat="1" applyFont="1" applyFill="1" applyBorder="1" applyAlignment="1">
      <alignment horizontal="right" vertical="center"/>
    </xf>
    <xf numFmtId="164" fontId="51" fillId="27" borderId="0" xfId="2" applyNumberFormat="1" applyFont="1" applyFill="1" applyAlignment="1">
      <alignment horizontal="right"/>
    </xf>
    <xf numFmtId="164" fontId="5" fillId="0" borderId="0" xfId="89" applyNumberFormat="1" applyFont="1" applyFill="1" applyBorder="1" applyAlignment="1">
      <alignment horizontal="right" vertical="center"/>
    </xf>
    <xf numFmtId="164" fontId="48" fillId="0" borderId="0" xfId="2" applyNumberFormat="1" applyFont="1" applyFill="1" applyAlignment="1">
      <alignment horizontal="right"/>
    </xf>
    <xf numFmtId="0" fontId="2" fillId="27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1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0" fontId="4" fillId="27" borderId="0" xfId="0" applyFont="1" applyFill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171" fontId="48" fillId="0" borderId="0" xfId="2" applyNumberFormat="1" applyFont="1" applyFill="1" applyAlignment="1">
      <alignment horizontal="right" vertical="top" wrapText="1"/>
    </xf>
    <xf numFmtId="0" fontId="8" fillId="0" borderId="0" xfId="2" applyFont="1" applyFill="1" applyBorder="1" applyAlignment="1">
      <alignment horizontal="right"/>
    </xf>
    <xf numFmtId="0" fontId="4" fillId="27" borderId="0" xfId="0" applyFont="1" applyFill="1" applyBorder="1" applyAlignment="1">
      <alignment horizontal="right" vertical="center"/>
    </xf>
    <xf numFmtId="164" fontId="4" fillId="27" borderId="0" xfId="0" applyNumberFormat="1" applyFont="1" applyFill="1" applyBorder="1" applyAlignment="1">
      <alignment horizontal="right" vertical="center"/>
    </xf>
    <xf numFmtId="3" fontId="6" fillId="0" borderId="0" xfId="40" applyNumberFormat="1" applyFont="1" applyFill="1" applyBorder="1" applyAlignment="1">
      <alignment horizontal="right" vertical="center"/>
    </xf>
    <xf numFmtId="164" fontId="5" fillId="0" borderId="0" xfId="39" applyNumberFormat="1" applyFont="1" applyFill="1" applyBorder="1" applyAlignment="1">
      <alignment horizontal="right" vertical="center"/>
    </xf>
    <xf numFmtId="3" fontId="46" fillId="0" borderId="0" xfId="40" applyNumberFormat="1" applyFont="1" applyFill="1" applyBorder="1" applyAlignment="1">
      <alignment horizontal="right" vertical="center"/>
    </xf>
    <xf numFmtId="3" fontId="46" fillId="27" borderId="0" xfId="40" applyNumberFormat="1" applyFont="1" applyFill="1" applyBorder="1" applyAlignment="1">
      <alignment horizontal="right" vertical="center"/>
    </xf>
    <xf numFmtId="166" fontId="46" fillId="27" borderId="0" xfId="40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0" fontId="4" fillId="26" borderId="16" xfId="0" applyFont="1" applyFill="1" applyBorder="1" applyAlignment="1">
      <alignment horizontal="right" vertical="center" wrapText="1"/>
    </xf>
    <xf numFmtId="165" fontId="4" fillId="27" borderId="0" xfId="1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164" fontId="3" fillId="0" borderId="0" xfId="89" applyNumberFormat="1" applyFont="1" applyFill="1" applyBorder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0" fontId="5" fillId="0" borderId="0" xfId="0" applyFont="1" applyAlignment="1">
      <alignment horizontal="left"/>
    </xf>
    <xf numFmtId="0" fontId="4" fillId="27" borderId="0" xfId="0" applyFont="1" applyFill="1" applyBorder="1" applyAlignment="1">
      <alignment horizontal="center" vertical="center"/>
    </xf>
    <xf numFmtId="164" fontId="5" fillId="0" borderId="0" xfId="4" applyNumberFormat="1" applyFont="1" applyFill="1" applyBorder="1" applyAlignment="1">
      <alignment horizontal="right" vertical="center"/>
    </xf>
    <xf numFmtId="0" fontId="61" fillId="28" borderId="0" xfId="82" applyFont="1" applyFill="1" applyBorder="1"/>
    <xf numFmtId="0" fontId="61" fillId="28" borderId="1" xfId="82" applyFont="1" applyFill="1" applyBorder="1"/>
    <xf numFmtId="166" fontId="3" fillId="27" borderId="0" xfId="2" applyNumberFormat="1" applyFont="1" applyFill="1" applyAlignment="1">
      <alignment horizontal="right" vertical="center"/>
    </xf>
    <xf numFmtId="171" fontId="5" fillId="0" borderId="0" xfId="2" applyNumberFormat="1" applyFont="1" applyFill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164" fontId="5" fillId="0" borderId="0" xfId="89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0" xfId="0"/>
    <xf numFmtId="0" fontId="26" fillId="0" borderId="0" xfId="0" applyFont="1" applyAlignment="1">
      <alignment horizontal="left" vertical="center"/>
    </xf>
    <xf numFmtId="0" fontId="0" fillId="0" borderId="0" xfId="0" applyFont="1"/>
    <xf numFmtId="0" fontId="5" fillId="0" borderId="0" xfId="2" applyFont="1" applyFill="1" applyBorder="1" applyAlignment="1">
      <alignment horizontal="left" indent="1"/>
    </xf>
    <xf numFmtId="0" fontId="51" fillId="0" borderId="0" xfId="2" applyFont="1" applyFill="1" applyBorder="1" applyAlignment="1">
      <alignment horizontal="center" wrapText="1"/>
    </xf>
    <xf numFmtId="0" fontId="51" fillId="0" borderId="0" xfId="2" quotePrefix="1" applyFont="1" applyFill="1" applyBorder="1" applyAlignment="1">
      <alignment horizontal="center" vertical="center" wrapText="1"/>
    </xf>
    <xf numFmtId="0" fontId="7" fillId="0" borderId="0" xfId="2" applyAlignment="1">
      <alignment wrapText="1"/>
    </xf>
    <xf numFmtId="166" fontId="3" fillId="27" borderId="0" xfId="4" applyNumberFormat="1" applyFont="1" applyFill="1" applyBorder="1" applyAlignment="1">
      <alignment horizontal="right" vertical="center" wrapText="1"/>
    </xf>
    <xf numFmtId="0" fontId="3" fillId="27" borderId="0" xfId="2" applyFont="1" applyFill="1" applyAlignment="1">
      <alignment horizontal="center" vertical="center" wrapText="1"/>
    </xf>
    <xf numFmtId="165" fontId="3" fillId="27" borderId="0" xfId="2" applyNumberFormat="1" applyFont="1" applyFill="1" applyAlignment="1">
      <alignment horizontal="center" vertical="center" wrapText="1"/>
    </xf>
    <xf numFmtId="0" fontId="3" fillId="27" borderId="0" xfId="2" applyFont="1" applyFill="1" applyBorder="1" applyAlignment="1">
      <alignment horizontal="center" vertical="center" wrapText="1"/>
    </xf>
    <xf numFmtId="1" fontId="3" fillId="27" borderId="0" xfId="2" applyNumberFormat="1" applyFont="1" applyFill="1" applyAlignment="1">
      <alignment horizontal="center" vertical="center" wrapText="1"/>
    </xf>
    <xf numFmtId="166" fontId="3" fillId="27" borderId="0" xfId="2" applyNumberFormat="1" applyFont="1" applyFill="1" applyAlignment="1">
      <alignment horizontal="right" vertical="center" wrapText="1"/>
    </xf>
    <xf numFmtId="0" fontId="51" fillId="0" borderId="0" xfId="2" applyFont="1" applyFill="1" applyAlignment="1">
      <alignment wrapText="1"/>
    </xf>
    <xf numFmtId="170" fontId="48" fillId="0" borderId="0" xfId="2" applyNumberFormat="1" applyFont="1" applyFill="1" applyAlignment="1">
      <alignment horizontal="right" wrapText="1"/>
    </xf>
    <xf numFmtId="0" fontId="48" fillId="0" borderId="0" xfId="2" applyFont="1" applyFill="1" applyAlignment="1">
      <alignment horizontal="center" wrapText="1"/>
    </xf>
    <xf numFmtId="169" fontId="48" fillId="0" borderId="0" xfId="2" quotePrefix="1" applyNumberFormat="1" applyFont="1" applyFill="1" applyAlignment="1">
      <alignment horizontal="center" vertical="center" wrapText="1"/>
    </xf>
    <xf numFmtId="0" fontId="48" fillId="28" borderId="1" xfId="2" applyFont="1" applyFill="1" applyBorder="1" applyAlignment="1">
      <alignment wrapText="1"/>
    </xf>
    <xf numFmtId="164" fontId="5" fillId="0" borderId="1" xfId="2" applyNumberFormat="1" applyFont="1" applyBorder="1" applyAlignment="1">
      <alignment horizontal="right" vertical="center" wrapText="1"/>
    </xf>
    <xf numFmtId="0" fontId="5" fillId="0" borderId="1" xfId="2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9" fontId="5" fillId="28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/>
    </xf>
    <xf numFmtId="0" fontId="48" fillId="26" borderId="1" xfId="2" applyFont="1" applyFill="1" applyBorder="1" applyAlignment="1">
      <alignment horizontal="center"/>
    </xf>
    <xf numFmtId="0" fontId="7" fillId="0" borderId="0" xfId="2" applyAlignment="1">
      <alignment horizontal="center"/>
    </xf>
    <xf numFmtId="0" fontId="48" fillId="26" borderId="1" xfId="2" applyFont="1" applyFill="1" applyBorder="1" applyAlignment="1">
      <alignment horizontal="center" vertical="center"/>
    </xf>
    <xf numFmtId="0" fontId="7" fillId="0" borderId="0" xfId="2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" fillId="26" borderId="3" xfId="0" applyFont="1" applyFill="1" applyBorder="1"/>
    <xf numFmtId="0" fontId="58" fillId="26" borderId="0" xfId="0" applyFont="1" applyFill="1" applyBorder="1" applyAlignment="1"/>
    <xf numFmtId="0" fontId="63" fillId="0" borderId="0" xfId="0" applyFont="1" applyBorder="1" applyAlignment="1">
      <alignment vertical="center" wrapText="1"/>
    </xf>
    <xf numFmtId="0" fontId="62" fillId="28" borderId="0" xfId="82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4" fillId="26" borderId="2" xfId="0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165" fontId="2" fillId="27" borderId="0" xfId="0" applyNumberFormat="1" applyFont="1" applyFill="1" applyBorder="1" applyAlignment="1">
      <alignment horizontal="center" vertical="center"/>
    </xf>
    <xf numFmtId="164" fontId="30" fillId="0" borderId="0" xfId="89" applyNumberFormat="1" applyFont="1" applyFill="1" applyBorder="1" applyAlignment="1"/>
    <xf numFmtId="164" fontId="30" fillId="0" borderId="0" xfId="89" applyNumberFormat="1" applyFont="1" applyFill="1" applyBorder="1" applyAlignment="1">
      <alignment horizontal="right"/>
    </xf>
    <xf numFmtId="0" fontId="30" fillId="0" borderId="0" xfId="89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27" borderId="0" xfId="2" applyFont="1" applyFill="1" applyAlignment="1">
      <alignment horizontal="left" indent="1"/>
    </xf>
    <xf numFmtId="0" fontId="0" fillId="0" borderId="1" xfId="0" applyFont="1" applyBorder="1"/>
    <xf numFmtId="165" fontId="4" fillId="27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9" fillId="0" borderId="0" xfId="0" applyFont="1"/>
    <xf numFmtId="0" fontId="69" fillId="0" borderId="0" xfId="0" applyFont="1" applyFill="1"/>
    <xf numFmtId="0" fontId="1" fillId="0" borderId="0" xfId="0" applyFont="1"/>
    <xf numFmtId="171" fontId="61" fillId="28" borderId="0" xfId="2" applyNumberFormat="1" applyFont="1" applyFill="1" applyAlignment="1">
      <alignment horizontal="left" indent="3"/>
    </xf>
    <xf numFmtId="171" fontId="61" fillId="28" borderId="0" xfId="2" applyNumberFormat="1" applyFont="1" applyFill="1" applyAlignment="1"/>
    <xf numFmtId="164" fontId="61" fillId="0" borderId="0" xfId="4" applyNumberFormat="1" applyFont="1" applyFill="1" applyBorder="1" applyAlignment="1">
      <alignment horizontal="center" vertical="center"/>
    </xf>
    <xf numFmtId="0" fontId="68" fillId="27" borderId="0" xfId="2" applyFont="1" applyFill="1" applyAlignment="1">
      <alignment wrapText="1"/>
    </xf>
    <xf numFmtId="165" fontId="68" fillId="27" borderId="0" xfId="4" applyNumberFormat="1" applyFont="1" applyFill="1" applyBorder="1" applyAlignment="1">
      <alignment horizontal="center" vertical="center"/>
    </xf>
    <xf numFmtId="0" fontId="68" fillId="28" borderId="0" xfId="2" applyFont="1" applyFill="1" applyBorder="1" applyAlignment="1">
      <alignment wrapText="1"/>
    </xf>
    <xf numFmtId="165" fontId="68" fillId="0" borderId="0" xfId="4" applyNumberFormat="1" applyFont="1" applyFill="1" applyBorder="1" applyAlignment="1">
      <alignment horizontal="center" vertical="center"/>
    </xf>
    <xf numFmtId="49" fontId="68" fillId="0" borderId="3" xfId="82" applyNumberFormat="1" applyFont="1" applyFill="1" applyBorder="1" applyAlignment="1">
      <alignment wrapText="1"/>
    </xf>
    <xf numFmtId="166" fontId="68" fillId="0" borderId="3" xfId="4" applyNumberFormat="1" applyFont="1" applyFill="1" applyBorder="1" applyAlignment="1">
      <alignment horizontal="center" vertical="center" wrapText="1"/>
    </xf>
    <xf numFmtId="0" fontId="70" fillId="0" borderId="0" xfId="0" applyFont="1"/>
    <xf numFmtId="171" fontId="71" fillId="28" borderId="0" xfId="2" applyNumberFormat="1" applyFont="1" applyFill="1" applyAlignment="1"/>
    <xf numFmtId="164" fontId="71" fillId="0" borderId="0" xfId="4" applyNumberFormat="1" applyFont="1" applyFill="1" applyBorder="1" applyAlignment="1">
      <alignment horizontal="right" vertical="center"/>
    </xf>
    <xf numFmtId="171" fontId="71" fillId="28" borderId="0" xfId="2" applyNumberFormat="1" applyFont="1" applyFill="1" applyAlignment="1">
      <alignment horizontal="left" indent="3"/>
    </xf>
    <xf numFmtId="171" fontId="5" fillId="0" borderId="0" xfId="2" applyNumberFormat="1" applyFont="1" applyFill="1" applyAlignment="1">
      <alignment horizontal="left" indent="3"/>
    </xf>
    <xf numFmtId="0" fontId="4" fillId="26" borderId="4" xfId="0" applyFont="1" applyFill="1" applyBorder="1" applyAlignment="1">
      <alignment horizontal="center" vertical="center"/>
    </xf>
    <xf numFmtId="0" fontId="4" fillId="26" borderId="4" xfId="82" applyFont="1" applyFill="1" applyBorder="1" applyAlignment="1">
      <alignment horizontal="center" vertical="center" wrapText="1"/>
    </xf>
    <xf numFmtId="0" fontId="3" fillId="26" borderId="4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5" fillId="0" borderId="0" xfId="4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3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64" fontId="5" fillId="0" borderId="0" xfId="4" applyNumberFormat="1" applyFont="1" applyFill="1" applyBorder="1" applyAlignment="1">
      <alignment horizontal="center" vertical="center"/>
    </xf>
    <xf numFmtId="166" fontId="68" fillId="27" borderId="0" xfId="2" applyNumberFormat="1" applyFont="1" applyFill="1" applyAlignment="1">
      <alignment horizontal="center" vertical="center" wrapText="1"/>
    </xf>
    <xf numFmtId="164" fontId="68" fillId="0" borderId="0" xfId="2" applyNumberFormat="1" applyFont="1" applyBorder="1" applyAlignment="1">
      <alignment horizontal="center" vertical="center" wrapText="1"/>
    </xf>
    <xf numFmtId="0" fontId="4" fillId="26" borderId="2" xfId="0" applyFont="1" applyFill="1" applyBorder="1" applyAlignment="1">
      <alignment horizontal="center" vertical="center"/>
    </xf>
    <xf numFmtId="0" fontId="4" fillId="26" borderId="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/>
    <xf numFmtId="0" fontId="58" fillId="0" borderId="0" xfId="0" applyFont="1"/>
    <xf numFmtId="1" fontId="58" fillId="0" borderId="0" xfId="0" applyNumberFormat="1" applyFont="1"/>
    <xf numFmtId="165" fontId="5" fillId="0" borderId="0" xfId="89" applyNumberFormat="1" applyFont="1" applyFill="1" applyBorder="1" applyAlignment="1">
      <alignment horizontal="right" vertical="center"/>
    </xf>
    <xf numFmtId="165" fontId="51" fillId="27" borderId="0" xfId="2" applyNumberFormat="1" applyFont="1" applyFill="1" applyAlignment="1">
      <alignment horizontal="center"/>
    </xf>
    <xf numFmtId="0" fontId="74" fillId="0" borderId="0" xfId="0" applyFont="1" applyBorder="1"/>
    <xf numFmtId="164" fontId="2" fillId="0" borderId="0" xfId="0" applyNumberFormat="1" applyFont="1" applyFill="1" applyBorder="1"/>
    <xf numFmtId="0" fontId="26" fillId="0" borderId="0" xfId="0" applyFont="1" applyAlignment="1">
      <alignment horizontal="left"/>
    </xf>
    <xf numFmtId="0" fontId="4" fillId="26" borderId="2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/>
    </xf>
    <xf numFmtId="0" fontId="4" fillId="26" borderId="2" xfId="0" applyFont="1" applyFill="1" applyBorder="1" applyAlignment="1">
      <alignment horizontal="center" vertical="center" wrapText="1"/>
    </xf>
    <xf numFmtId="0" fontId="4" fillId="26" borderId="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6" borderId="2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27" borderId="0" xfId="0" applyFont="1" applyFill="1" applyAlignment="1">
      <alignment horizontal="left"/>
    </xf>
    <xf numFmtId="0" fontId="10" fillId="0" borderId="0" xfId="3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6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6" fillId="0" borderId="0" xfId="3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0" fontId="72" fillId="28" borderId="0" xfId="82" applyFont="1" applyFill="1" applyBorder="1" applyAlignment="1">
      <alignment horizontal="center" vertical="center" wrapText="1"/>
    </xf>
    <xf numFmtId="0" fontId="72" fillId="28" borderId="1" xfId="82" applyFont="1" applyFill="1" applyBorder="1" applyAlignment="1">
      <alignment horizontal="center" vertical="center" wrapText="1"/>
    </xf>
    <xf numFmtId="0" fontId="52" fillId="26" borderId="1" xfId="82" applyFont="1" applyFill="1" applyBorder="1" applyAlignment="1">
      <alignment horizontal="center" vertical="center" wrapText="1"/>
    </xf>
    <xf numFmtId="0" fontId="52" fillId="26" borderId="17" xfId="82" applyFont="1" applyFill="1" applyBorder="1" applyAlignment="1">
      <alignment horizontal="center" vertical="center" wrapText="1"/>
    </xf>
    <xf numFmtId="49" fontId="51" fillId="27" borderId="0" xfId="82" applyNumberFormat="1" applyFont="1" applyFill="1" applyBorder="1" applyAlignment="1">
      <alignment horizontal="left" wrapText="1"/>
    </xf>
    <xf numFmtId="0" fontId="51" fillId="27" borderId="0" xfId="2" applyFont="1" applyFill="1" applyAlignment="1">
      <alignment horizontal="left" wrapText="1" indent="2"/>
    </xf>
    <xf numFmtId="0" fontId="4" fillId="0" borderId="0" xfId="0" applyFont="1" applyFill="1" applyBorder="1" applyAlignment="1">
      <alignment horizontal="center" vertical="center"/>
    </xf>
    <xf numFmtId="0" fontId="10" fillId="0" borderId="0" xfId="3" applyFont="1" applyAlignment="1">
      <alignment horizontal="left"/>
    </xf>
    <xf numFmtId="49" fontId="68" fillId="0" borderId="3" xfId="82" applyNumberFormat="1" applyFont="1" applyFill="1" applyBorder="1" applyAlignment="1">
      <alignment horizontal="center" wrapText="1"/>
    </xf>
    <xf numFmtId="0" fontId="68" fillId="27" borderId="0" xfId="2" applyFont="1" applyFill="1" applyAlignment="1">
      <alignment horizontal="left" wrapText="1" indent="3"/>
    </xf>
    <xf numFmtId="0" fontId="68" fillId="28" borderId="0" xfId="2" applyFont="1" applyFill="1" applyBorder="1" applyAlignment="1">
      <alignment horizontal="left" wrapText="1" indent="1"/>
    </xf>
    <xf numFmtId="0" fontId="57" fillId="0" borderId="3" xfId="0" applyFont="1" applyBorder="1" applyAlignment="1">
      <alignment horizontal="center" vertical="center" wrapText="1"/>
    </xf>
  </cellXfs>
  <cellStyles count="137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Énfasis1 2" xfId="95"/>
    <cellStyle name="20% - Énfasis2 2" xfId="96"/>
    <cellStyle name="20% - Énfasis3 2" xfId="97"/>
    <cellStyle name="20% - Énfasis4 2" xfId="98"/>
    <cellStyle name="20% - Énfasis5 2" xfId="99"/>
    <cellStyle name="20% - Énfasis6 2" xfId="100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Énfasis1 2" xfId="101"/>
    <cellStyle name="40% - Énfasis2 2" xfId="102"/>
    <cellStyle name="40% - Énfasis3 2" xfId="103"/>
    <cellStyle name="40% - Énfasis4 2" xfId="104"/>
    <cellStyle name="40% - Énfasis5 2" xfId="105"/>
    <cellStyle name="40% - Énfasis6 2" xfId="106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Énfasis1 2" xfId="107"/>
    <cellStyle name="60% - Énfasis2 2" xfId="108"/>
    <cellStyle name="60% - Énfasis3 2" xfId="109"/>
    <cellStyle name="60% - Énfasis4 2" xfId="110"/>
    <cellStyle name="60% - Énfasis5 2" xfId="111"/>
    <cellStyle name="60% - Énfasis6 2" xfId="112"/>
    <cellStyle name="Accent1" xfId="60"/>
    <cellStyle name="Accent2" xfId="61"/>
    <cellStyle name="Accent3" xfId="62"/>
    <cellStyle name="Accent4" xfId="63"/>
    <cellStyle name="Accent5" xfId="64"/>
    <cellStyle name="Accent6" xfId="65"/>
    <cellStyle name="annee semestre" xfId="5"/>
    <cellStyle name="Bad" xfId="66"/>
    <cellStyle name="Buena 2" xfId="123"/>
    <cellStyle name="Calculation" xfId="67"/>
    <cellStyle name="Cálculo 2" xfId="120"/>
    <cellStyle name="Celda de comprobación 2" xfId="121"/>
    <cellStyle name="Celda vinculada 2" xfId="129"/>
    <cellStyle name="Check Cell" xfId="68"/>
    <cellStyle name="clsAltData" xfId="6"/>
    <cellStyle name="clsColumnHeader" xfId="7"/>
    <cellStyle name="clsData" xfId="8"/>
    <cellStyle name="clsDefault" xfId="9"/>
    <cellStyle name="clsRowHeader" xfId="10"/>
    <cellStyle name="Comma 2" xfId="11"/>
    <cellStyle name="données" xfId="12"/>
    <cellStyle name="donnéesbord" xfId="13"/>
    <cellStyle name="Encabezado 4 2" xfId="127"/>
    <cellStyle name="Énfasis1 2" xfId="113"/>
    <cellStyle name="Énfasis2 2" xfId="114"/>
    <cellStyle name="Énfasis3 2" xfId="115"/>
    <cellStyle name="Énfasis4 2" xfId="116"/>
    <cellStyle name="Énfasis5 2" xfId="117"/>
    <cellStyle name="Énfasis6 2" xfId="118"/>
    <cellStyle name="Entrada 2" xfId="128"/>
    <cellStyle name="Explanatory Text" xfId="70"/>
    <cellStyle name="Good" xfId="71"/>
    <cellStyle name="H1" xfId="14"/>
    <cellStyle name="H2" xfId="15"/>
    <cellStyle name="H3" xfId="16"/>
    <cellStyle name="H4" xfId="17"/>
    <cellStyle name="H5" xfId="18"/>
    <cellStyle name="Heading 1" xfId="72"/>
    <cellStyle name="Heading 2" xfId="73"/>
    <cellStyle name="Heading 3" xfId="74"/>
    <cellStyle name="Heading 4" xfId="75"/>
    <cellStyle name="Hipervínculo" xfId="3" builtinId="8"/>
    <cellStyle name="Hipervínculo 2" xfId="38"/>
    <cellStyle name="Hipervínculo 2 2" xfId="41"/>
    <cellStyle name="Hipervínculo 2 2 2" xfId="90"/>
    <cellStyle name="Hipervínculo 3" xfId="87"/>
    <cellStyle name="Hipervínculo 4" xfId="134"/>
    <cellStyle name="Hyperlink 2" xfId="19"/>
    <cellStyle name="Îáű÷íűé_ÂŰŐÎÄ" xfId="20"/>
    <cellStyle name="Incorrecto 2" xfId="119"/>
    <cellStyle name="Input" xfId="76"/>
    <cellStyle name="Linked Cell" xfId="77"/>
    <cellStyle name="Millares" xfId="1" builtinId="3"/>
    <cellStyle name="Millares 2" xfId="69"/>
    <cellStyle name="Millares 2 2" xfId="91"/>
    <cellStyle name="Neutral 2" xfId="21"/>
    <cellStyle name="Normal" xfId="0" builtinId="0"/>
    <cellStyle name="Normal 2" xfId="2"/>
    <cellStyle name="Normal 2 2" xfId="23"/>
    <cellStyle name="Normal 2 2 2" xfId="136"/>
    <cellStyle name="Normal 2 3" xfId="22"/>
    <cellStyle name="Normal 2 4" xfId="4"/>
    <cellStyle name="Normal 2 4 2" xfId="39"/>
    <cellStyle name="Normal 2 4 2 2" xfId="89"/>
    <cellStyle name="Normal 3" xfId="24"/>
    <cellStyle name="Normal 4" xfId="25"/>
    <cellStyle name="Normal 5" xfId="83"/>
    <cellStyle name="Normal 5 2" xfId="85"/>
    <cellStyle name="Normal 5 2 2" xfId="94"/>
    <cellStyle name="Normal 5 3" xfId="93"/>
    <cellStyle name="Normal 5 4" xfId="86"/>
    <cellStyle name="Normal 5 5" xfId="135"/>
    <cellStyle name="Normal 6" xfId="84"/>
    <cellStyle name="Normal 6 2" xfId="88"/>
    <cellStyle name="Normal_CONSTANT 2" xfId="40"/>
    <cellStyle name="Normal_REMESAS" xfId="82"/>
    <cellStyle name="normální 2" xfId="26"/>
    <cellStyle name="normální 2 2" xfId="27"/>
    <cellStyle name="normální_povolenikpopbytudlezemipuvodu942000" xfId="28"/>
    <cellStyle name="Notas 2" xfId="130"/>
    <cellStyle name="Note" xfId="78"/>
    <cellStyle name="Note 2" xfId="92"/>
    <cellStyle name="notes" xfId="29"/>
    <cellStyle name="Output" xfId="79"/>
    <cellStyle name="Percent 2" xfId="30"/>
    <cellStyle name="Salida 2" xfId="131"/>
    <cellStyle name="semestre" xfId="31"/>
    <cellStyle name="Style 27" xfId="32"/>
    <cellStyle name="Style 35" xfId="33"/>
    <cellStyle name="Style 36" xfId="34"/>
    <cellStyle name="tête chapitre" xfId="35"/>
    <cellStyle name="Texto de advertencia 2" xfId="133"/>
    <cellStyle name="Texto explicativo 2" xfId="122"/>
    <cellStyle name="Title" xfId="80"/>
    <cellStyle name="titre" xfId="36"/>
    <cellStyle name="Título 1 2" xfId="124"/>
    <cellStyle name="Título 2 2" xfId="125"/>
    <cellStyle name="Título 3 2" xfId="126"/>
    <cellStyle name="Título 4" xfId="132"/>
    <cellStyle name="Total 2" xfId="37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1</xdr:row>
      <xdr:rowOff>209550</xdr:rowOff>
    </xdr:from>
    <xdr:ext cx="1962150" cy="60960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52425"/>
          <a:ext cx="1962150" cy="6096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331471</xdr:colOff>
      <xdr:row>1</xdr:row>
      <xdr:rowOff>9525</xdr:rowOff>
    </xdr:from>
    <xdr:ext cx="1706879" cy="5524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96" y="304800"/>
          <a:ext cx="1706879" cy="5524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91019</xdr:colOff>
      <xdr:row>0</xdr:row>
      <xdr:rowOff>275166</xdr:rowOff>
    </xdr:from>
    <xdr:ext cx="1845731" cy="660401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275166"/>
          <a:ext cx="1845731" cy="66040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127004</xdr:colOff>
      <xdr:row>1</xdr:row>
      <xdr:rowOff>3175</xdr:rowOff>
    </xdr:from>
    <xdr:ext cx="2071687" cy="62653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7" y="183092"/>
          <a:ext cx="2071687" cy="62653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31750</xdr:colOff>
      <xdr:row>1</xdr:row>
      <xdr:rowOff>247650</xdr:rowOff>
    </xdr:from>
    <xdr:ext cx="1460499" cy="472017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5" y="409575"/>
          <a:ext cx="1460499" cy="47201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83344</xdr:colOff>
      <xdr:row>1</xdr:row>
      <xdr:rowOff>60550</xdr:rowOff>
    </xdr:from>
    <xdr:ext cx="1535905" cy="5109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441550"/>
          <a:ext cx="1535905" cy="510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n.org/en/development/desa/population/migration/data/empirical2/index.shtml" TargetMode="External"/><Relationship Id="rId1" Type="http://schemas.openxmlformats.org/officeDocument/2006/relationships/hyperlink" Target="http://www.un.org/en/development/desa/population/migration/data/empirical2/index.s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n.org/en/development/desa/population/migration/data/empirical2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showGridLines="0" tabSelected="1" zoomScaleNormal="100" workbookViewId="0">
      <selection activeCell="J33" sqref="J33"/>
    </sheetView>
  </sheetViews>
  <sheetFormatPr baseColWidth="10" defaultRowHeight="15" x14ac:dyDescent="0.25"/>
  <cols>
    <col min="1" max="1" width="5.42578125" style="129" customWidth="1"/>
    <col min="2" max="2" width="10.28515625" style="129" customWidth="1"/>
    <col min="3" max="3" width="13.28515625" style="129" customWidth="1"/>
    <col min="4" max="4" width="15.140625" style="129" customWidth="1"/>
    <col min="5" max="5" width="10" style="129" bestFit="1" customWidth="1"/>
    <col min="6" max="6" width="15.7109375" style="129" customWidth="1"/>
    <col min="7" max="7" width="13.5703125" style="129" customWidth="1"/>
    <col min="8" max="8" width="3" style="129" customWidth="1"/>
    <col min="9" max="9" width="14.42578125" style="129" customWidth="1"/>
    <col min="10" max="10" width="13.7109375" style="129" customWidth="1"/>
    <col min="11" max="12" width="1.85546875" style="129" customWidth="1"/>
    <col min="13" max="13" width="13" style="129" customWidth="1"/>
    <col min="14" max="14" width="13.28515625" style="129" customWidth="1"/>
    <col min="15" max="15" width="3.7109375" style="129" customWidth="1"/>
    <col min="16" max="16" width="12.5703125" style="129" customWidth="1"/>
    <col min="17" max="17" width="12" style="129" customWidth="1"/>
    <col min="18" max="18" width="3.140625" style="129" customWidth="1"/>
    <col min="19" max="19" width="12.7109375" style="129" customWidth="1"/>
    <col min="20" max="20" width="15.28515625" style="129" customWidth="1"/>
    <col min="21" max="16384" width="11.42578125" style="129"/>
  </cols>
  <sheetData>
    <row r="1" spans="1:31" ht="18.75" x14ac:dyDescent="0.25"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31" ht="32.25" customHeight="1" x14ac:dyDescent="0.25">
      <c r="E2" s="229" t="s">
        <v>112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31" ht="31.5" customHeight="1" x14ac:dyDescent="0.25"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31" ht="26.25" customHeight="1" thickBot="1" x14ac:dyDescent="0.3">
      <c r="B4" s="28"/>
      <c r="C4" s="28"/>
      <c r="D4" s="28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31" ht="26.25" customHeight="1" thickBot="1" x14ac:dyDescent="0.3">
      <c r="A5" s="28"/>
      <c r="B5" s="223" t="s">
        <v>17</v>
      </c>
      <c r="C5" s="233" t="s">
        <v>108</v>
      </c>
      <c r="D5" s="233"/>
      <c r="E5" s="233"/>
      <c r="F5" s="233"/>
      <c r="G5" s="233"/>
      <c r="H5" s="233"/>
      <c r="I5" s="233"/>
      <c r="J5" s="233"/>
      <c r="K5" s="208"/>
      <c r="L5" s="208"/>
      <c r="M5" s="233" t="s">
        <v>133</v>
      </c>
      <c r="N5" s="233"/>
      <c r="O5" s="233"/>
      <c r="P5" s="233"/>
      <c r="Q5" s="233"/>
      <c r="R5" s="233"/>
      <c r="S5" s="233"/>
      <c r="T5" s="233"/>
      <c r="U5" s="28"/>
    </row>
    <row r="6" spans="1:31" ht="15" customHeight="1" x14ac:dyDescent="0.25">
      <c r="A6" s="28"/>
      <c r="B6" s="231"/>
      <c r="C6" s="225" t="s">
        <v>88</v>
      </c>
      <c r="D6" s="225" t="s">
        <v>89</v>
      </c>
      <c r="E6" s="207"/>
      <c r="F6" s="223" t="s">
        <v>18</v>
      </c>
      <c r="G6" s="223"/>
      <c r="H6" s="52"/>
      <c r="I6" s="225" t="s">
        <v>90</v>
      </c>
      <c r="J6" s="225"/>
      <c r="K6" s="55"/>
      <c r="L6" s="55"/>
      <c r="M6" s="225" t="s">
        <v>88</v>
      </c>
      <c r="N6" s="225" t="s">
        <v>91</v>
      </c>
      <c r="O6" s="207"/>
      <c r="P6" s="223" t="s">
        <v>18</v>
      </c>
      <c r="Q6" s="223"/>
      <c r="R6" s="52"/>
      <c r="S6" s="225" t="s">
        <v>109</v>
      </c>
      <c r="T6" s="225"/>
      <c r="U6" s="28"/>
    </row>
    <row r="7" spans="1:31" ht="15" customHeight="1" x14ac:dyDescent="0.25">
      <c r="A7" s="28"/>
      <c r="B7" s="231"/>
      <c r="C7" s="234"/>
      <c r="D7" s="234"/>
      <c r="E7" s="209"/>
      <c r="F7" s="224"/>
      <c r="G7" s="224"/>
      <c r="H7" s="209"/>
      <c r="I7" s="226"/>
      <c r="J7" s="226"/>
      <c r="K7" s="209"/>
      <c r="L7" s="209"/>
      <c r="M7" s="234"/>
      <c r="N7" s="234"/>
      <c r="O7" s="209"/>
      <c r="P7" s="224"/>
      <c r="Q7" s="224"/>
      <c r="R7" s="209"/>
      <c r="S7" s="226"/>
      <c r="T7" s="226"/>
      <c r="U7" s="2"/>
    </row>
    <row r="8" spans="1:31" ht="30.75" customHeight="1" thickBot="1" x14ac:dyDescent="0.3">
      <c r="A8" s="28"/>
      <c r="B8" s="232"/>
      <c r="C8" s="235"/>
      <c r="D8" s="235"/>
      <c r="E8" s="210"/>
      <c r="F8" s="210" t="s">
        <v>0</v>
      </c>
      <c r="G8" s="210" t="s">
        <v>1</v>
      </c>
      <c r="H8" s="210"/>
      <c r="I8" s="211" t="s">
        <v>92</v>
      </c>
      <c r="J8" s="211" t="s">
        <v>93</v>
      </c>
      <c r="K8" s="210"/>
      <c r="L8" s="210"/>
      <c r="M8" s="235"/>
      <c r="N8" s="235"/>
      <c r="O8" s="210"/>
      <c r="P8" s="210" t="s">
        <v>0</v>
      </c>
      <c r="Q8" s="210" t="s">
        <v>1</v>
      </c>
      <c r="R8" s="210"/>
      <c r="S8" s="211" t="s">
        <v>92</v>
      </c>
      <c r="T8" s="211" t="s">
        <v>93</v>
      </c>
      <c r="U8" s="2"/>
    </row>
    <row r="9" spans="1:31" x14ac:dyDescent="0.25">
      <c r="B9" s="202">
        <v>1960</v>
      </c>
      <c r="C9" s="88">
        <v>3023357.827</v>
      </c>
      <c r="D9" s="88">
        <f>77114679/1000</f>
        <v>77114.679000000004</v>
      </c>
      <c r="E9" s="66"/>
      <c r="F9" s="127">
        <f>40868847/1000</f>
        <v>40868.847000000002</v>
      </c>
      <c r="G9" s="127">
        <f>36245832/1000</f>
        <v>36245.832000000002</v>
      </c>
      <c r="H9" s="87"/>
      <c r="I9" s="127">
        <v>33873.281000000003</v>
      </c>
      <c r="J9" s="127">
        <v>43241.398000000001</v>
      </c>
      <c r="K9" s="66"/>
      <c r="L9" s="66"/>
      <c r="M9" s="83" t="s">
        <v>16</v>
      </c>
      <c r="N9" s="83" t="s">
        <v>16</v>
      </c>
      <c r="O9" s="83"/>
      <c r="P9" s="25" t="s">
        <v>16</v>
      </c>
      <c r="Q9" s="25" t="s">
        <v>16</v>
      </c>
      <c r="R9" s="83"/>
      <c r="S9" s="83" t="s">
        <v>16</v>
      </c>
      <c r="T9" s="83" t="s">
        <v>16</v>
      </c>
      <c r="U9" s="2"/>
    </row>
    <row r="10" spans="1:31" x14ac:dyDescent="0.25">
      <c r="B10" s="202">
        <v>1965</v>
      </c>
      <c r="C10" s="88">
        <v>3331670.389</v>
      </c>
      <c r="D10" s="88">
        <f>80796968/1000</f>
        <v>80796.967999999993</v>
      </c>
      <c r="E10" s="66"/>
      <c r="F10" s="127">
        <f>42556443/1000</f>
        <v>42556.442999999999</v>
      </c>
      <c r="G10" s="127">
        <f>38240525/1000</f>
        <v>38240.525000000001</v>
      </c>
      <c r="H10" s="87"/>
      <c r="I10" s="127">
        <v>37635.279000000002</v>
      </c>
      <c r="J10" s="127">
        <v>43161.688999999998</v>
      </c>
      <c r="K10" s="66"/>
      <c r="L10" s="66"/>
      <c r="M10" s="18">
        <f>((C10/C9)-1)*100</f>
        <v>10.197686798652295</v>
      </c>
      <c r="N10" s="18">
        <f>((D10/D9)-1)*100</f>
        <v>4.7750817973319926</v>
      </c>
      <c r="O10" s="18"/>
      <c r="P10" s="168">
        <f t="shared" ref="P10:T20" si="0">((F10/F9)-1)*100</f>
        <v>4.1292968211214642</v>
      </c>
      <c r="Q10" s="168">
        <f t="shared" si="0"/>
        <v>5.5032341373761229</v>
      </c>
      <c r="R10" s="18"/>
      <c r="S10" s="18">
        <f t="shared" si="0"/>
        <v>11.106092734270412</v>
      </c>
      <c r="T10" s="18">
        <f>((J10/J9)-1)*100</f>
        <v>-0.18433492830181031</v>
      </c>
      <c r="U10" s="17"/>
    </row>
    <row r="11" spans="1:31" x14ac:dyDescent="0.25">
      <c r="B11" s="202">
        <v>1970</v>
      </c>
      <c r="C11" s="88">
        <v>3685776.6169999996</v>
      </c>
      <c r="D11" s="88">
        <f>84460125/1000</f>
        <v>84460.125</v>
      </c>
      <c r="E11" s="66"/>
      <c r="F11" s="127">
        <f>44255872/1000</f>
        <v>44255.872000000003</v>
      </c>
      <c r="G11" s="127">
        <f>40204253/1000</f>
        <v>40204.252999999997</v>
      </c>
      <c r="H11" s="87"/>
      <c r="I11" s="127">
        <v>41085.302000000003</v>
      </c>
      <c r="J11" s="127">
        <v>43374.822999999997</v>
      </c>
      <c r="K11" s="66"/>
      <c r="L11" s="66"/>
      <c r="M11" s="18">
        <f>((C11/C10)-1)*100</f>
        <v>10.628489215773973</v>
      </c>
      <c r="N11" s="18">
        <f t="shared" ref="N11:N20" si="1">((D11/D10)-1)*100</f>
        <v>4.5337802774975566</v>
      </c>
      <c r="O11" s="18"/>
      <c r="P11" s="168">
        <f t="shared" si="0"/>
        <v>3.9933530158993813</v>
      </c>
      <c r="Q11" s="168">
        <f t="shared" si="0"/>
        <v>5.135201464938044</v>
      </c>
      <c r="R11" s="18"/>
      <c r="S11" s="18">
        <f t="shared" si="0"/>
        <v>9.1669919598576612</v>
      </c>
      <c r="T11" s="18">
        <f t="shared" si="0"/>
        <v>0.49380366000042475</v>
      </c>
      <c r="U11" s="2"/>
    </row>
    <row r="12" spans="1:31" x14ac:dyDescent="0.25">
      <c r="B12" s="202">
        <v>1975</v>
      </c>
      <c r="C12" s="88">
        <v>4061316.7859999998</v>
      </c>
      <c r="D12" s="88">
        <f>90368010/1000</f>
        <v>90368.01</v>
      </c>
      <c r="E12" s="66"/>
      <c r="F12" s="127">
        <f>47218412/1000</f>
        <v>47218.411999999997</v>
      </c>
      <c r="G12" s="127">
        <f>43149598/1000</f>
        <v>43149.597999999998</v>
      </c>
      <c r="H12" s="87"/>
      <c r="I12" s="127">
        <v>46218.887999999999</v>
      </c>
      <c r="J12" s="127">
        <v>44149.122000000003</v>
      </c>
      <c r="K12" s="66"/>
      <c r="L12" s="66"/>
      <c r="M12" s="18">
        <f t="shared" ref="M12:M19" si="2">((C12/C11)-1)*100</f>
        <v>10.188902042187987</v>
      </c>
      <c r="N12" s="18">
        <f t="shared" si="1"/>
        <v>6.9948807203399133</v>
      </c>
      <c r="O12" s="18"/>
      <c r="P12" s="168">
        <f t="shared" si="0"/>
        <v>6.6941173365649531</v>
      </c>
      <c r="Q12" s="168">
        <f t="shared" si="0"/>
        <v>7.3259537989674994</v>
      </c>
      <c r="R12" s="18"/>
      <c r="S12" s="18">
        <f t="shared" si="0"/>
        <v>12.494945272642743</v>
      </c>
      <c r="T12" s="18">
        <f t="shared" si="0"/>
        <v>1.7851346621057251</v>
      </c>
      <c r="U12" s="2"/>
    </row>
    <row r="13" spans="1:31" x14ac:dyDescent="0.25">
      <c r="B13" s="202">
        <v>1980</v>
      </c>
      <c r="C13" s="88">
        <v>4437609.074</v>
      </c>
      <c r="D13" s="88">
        <f>101983149/1000</f>
        <v>101983.149</v>
      </c>
      <c r="E13" s="66"/>
      <c r="F13" s="127">
        <f>53301668/1000</f>
        <v>53301.667999999998</v>
      </c>
      <c r="G13" s="127">
        <f>48681481/1000</f>
        <v>48681.481</v>
      </c>
      <c r="H13" s="87"/>
      <c r="I13" s="127">
        <v>50688.014000000003</v>
      </c>
      <c r="J13" s="127">
        <v>51295.135000000002</v>
      </c>
      <c r="K13" s="66"/>
      <c r="L13" s="66"/>
      <c r="M13" s="18">
        <f t="shared" si="2"/>
        <v>9.2652779339237767</v>
      </c>
      <c r="N13" s="18">
        <f t="shared" si="1"/>
        <v>12.853153455520383</v>
      </c>
      <c r="O13" s="18"/>
      <c r="P13" s="168">
        <f t="shared" si="0"/>
        <v>12.88322868630145</v>
      </c>
      <c r="Q13" s="168">
        <f t="shared" si="0"/>
        <v>12.8202422650612</v>
      </c>
      <c r="R13" s="18"/>
      <c r="S13" s="18">
        <f t="shared" si="0"/>
        <v>9.6694797157387278</v>
      </c>
      <c r="T13" s="18">
        <f t="shared" si="0"/>
        <v>16.186081797957375</v>
      </c>
      <c r="U13" s="2"/>
    </row>
    <row r="14" spans="1:31" x14ac:dyDescent="0.25">
      <c r="B14" s="202">
        <v>1985</v>
      </c>
      <c r="C14" s="88">
        <v>4846247.0279999999</v>
      </c>
      <c r="D14" s="88">
        <f>113206691/1000</f>
        <v>113206.69100000001</v>
      </c>
      <c r="E14" s="66"/>
      <c r="F14" s="127">
        <f>59337478/1000</f>
        <v>59337.478000000003</v>
      </c>
      <c r="G14" s="127">
        <f>53869213/1000</f>
        <v>53869.213000000003</v>
      </c>
      <c r="H14" s="87"/>
      <c r="I14" s="127">
        <v>55406.116000000002</v>
      </c>
      <c r="J14" s="127">
        <v>57800.574999999997</v>
      </c>
      <c r="K14" s="66"/>
      <c r="L14" s="66"/>
      <c r="M14" s="18">
        <f t="shared" si="2"/>
        <v>9.208516279503165</v>
      </c>
      <c r="N14" s="18">
        <f t="shared" si="1"/>
        <v>11.005290687778224</v>
      </c>
      <c r="O14" s="18"/>
      <c r="P14" s="168">
        <f t="shared" si="0"/>
        <v>11.32386701294228</v>
      </c>
      <c r="Q14" s="168">
        <f t="shared" si="0"/>
        <v>10.656479411544616</v>
      </c>
      <c r="R14" s="18"/>
      <c r="S14" s="18">
        <f t="shared" si="0"/>
        <v>9.3081216399600883</v>
      </c>
      <c r="T14" s="18">
        <f t="shared" si="0"/>
        <v>12.682372314645418</v>
      </c>
      <c r="U14" s="2"/>
      <c r="V14" s="2"/>
      <c r="W14" s="37"/>
      <c r="X14" s="37"/>
      <c r="Y14" s="37"/>
      <c r="Z14" s="38"/>
      <c r="AA14" s="39"/>
      <c r="AB14" s="37"/>
      <c r="AC14" s="37"/>
      <c r="AD14" s="2"/>
      <c r="AE14" s="2"/>
    </row>
    <row r="15" spans="1:31" x14ac:dyDescent="0.25">
      <c r="B15" s="202">
        <v>1990</v>
      </c>
      <c r="C15" s="89">
        <v>5330943.46</v>
      </c>
      <c r="D15" s="89">
        <f>152542373/1000</f>
        <v>152542.37299999999</v>
      </c>
      <c r="E15" s="66"/>
      <c r="F15" s="91">
        <f>77456347/1000</f>
        <v>77456.346999999994</v>
      </c>
      <c r="G15" s="91">
        <f>75086026/1000</f>
        <v>75086.025999999998</v>
      </c>
      <c r="H15" s="87"/>
      <c r="I15" s="127">
        <f>82391619/1000</f>
        <v>82391.619000000006</v>
      </c>
      <c r="J15" s="127">
        <f>70150754/1000</f>
        <v>70150.754000000001</v>
      </c>
      <c r="K15" s="66"/>
      <c r="L15" s="66"/>
      <c r="M15" s="18">
        <f t="shared" si="2"/>
        <v>10.001480097889882</v>
      </c>
      <c r="N15" s="18">
        <f t="shared" si="1"/>
        <v>34.746781884120239</v>
      </c>
      <c r="O15" s="18"/>
      <c r="P15" s="168">
        <f t="shared" si="0"/>
        <v>30.535286653066017</v>
      </c>
      <c r="Q15" s="168">
        <f t="shared" si="0"/>
        <v>39.385786088985554</v>
      </c>
      <c r="R15" s="18"/>
      <c r="S15" s="18">
        <f t="shared" si="0"/>
        <v>48.704917341616238</v>
      </c>
      <c r="T15" s="18">
        <f t="shared" si="0"/>
        <v>21.366879135717951</v>
      </c>
      <c r="U15" s="2"/>
      <c r="V15" s="2"/>
      <c r="W15" s="37"/>
      <c r="X15" s="37"/>
      <c r="Y15" s="37"/>
      <c r="Z15" s="38"/>
      <c r="AA15" s="39"/>
      <c r="AB15" s="37"/>
      <c r="AC15" s="37"/>
      <c r="AD15" s="2"/>
      <c r="AE15" s="2"/>
    </row>
    <row r="16" spans="1:31" x14ac:dyDescent="0.25">
      <c r="B16" s="202">
        <v>1995</v>
      </c>
      <c r="C16" s="89">
        <v>5751474.4160000002</v>
      </c>
      <c r="D16" s="89">
        <f>160700028/1000</f>
        <v>160700.02799999999</v>
      </c>
      <c r="E16" s="66"/>
      <c r="F16" s="127">
        <f>81394711/1000</f>
        <v>81394.710999999996</v>
      </c>
      <c r="G16" s="127">
        <f>79305317/1000</f>
        <v>79305.316999999995</v>
      </c>
      <c r="H16" s="87"/>
      <c r="I16" s="127">
        <f>92331345/1000</f>
        <v>92331.345000000001</v>
      </c>
      <c r="J16" s="127">
        <f>68368683/1000</f>
        <v>68368.683000000005</v>
      </c>
      <c r="K16" s="66"/>
      <c r="L16" s="66"/>
      <c r="M16" s="18">
        <f t="shared" si="2"/>
        <v>7.8884902673494128</v>
      </c>
      <c r="N16" s="18">
        <f t="shared" si="1"/>
        <v>5.3477960513961476</v>
      </c>
      <c r="O16" s="18"/>
      <c r="P16" s="168">
        <f t="shared" si="0"/>
        <v>5.0846239882704536</v>
      </c>
      <c r="Q16" s="168">
        <f t="shared" si="0"/>
        <v>5.6192759488962629</v>
      </c>
      <c r="R16" s="18"/>
      <c r="S16" s="18">
        <f t="shared" si="0"/>
        <v>12.064001315473604</v>
      </c>
      <c r="T16" s="18">
        <f t="shared" si="0"/>
        <v>-2.5403447552395431</v>
      </c>
      <c r="U16" s="2"/>
      <c r="V16" s="2"/>
      <c r="W16" s="2"/>
      <c r="X16" s="2"/>
      <c r="Y16" s="2"/>
      <c r="Z16" s="38"/>
      <c r="AA16" s="2"/>
      <c r="AB16" s="2"/>
      <c r="AC16" s="2"/>
      <c r="AD16" s="2"/>
      <c r="AE16" s="2"/>
    </row>
    <row r="17" spans="2:31" x14ac:dyDescent="0.25">
      <c r="B17" s="202">
        <v>2000</v>
      </c>
      <c r="C17" s="89">
        <v>6145006.9890000001</v>
      </c>
      <c r="D17" s="89">
        <f>172604257/1000</f>
        <v>172604.25700000001</v>
      </c>
      <c r="E17" s="66"/>
      <c r="F17" s="91">
        <f>87527473/1000</f>
        <v>87527.472999999998</v>
      </c>
      <c r="G17" s="91">
        <f>85076784/1000</f>
        <v>85076.784</v>
      </c>
      <c r="H17" s="87"/>
      <c r="I17" s="127">
        <f>103417894/1000</f>
        <v>103417.894</v>
      </c>
      <c r="J17" s="127">
        <f>69186363/1000</f>
        <v>69186.362999999998</v>
      </c>
      <c r="K17" s="66"/>
      <c r="L17" s="66"/>
      <c r="M17" s="18">
        <f t="shared" si="2"/>
        <v>6.8422902465711033</v>
      </c>
      <c r="N17" s="18">
        <f t="shared" si="1"/>
        <v>7.4077329967858097</v>
      </c>
      <c r="O17" s="18"/>
      <c r="P17" s="168">
        <f t="shared" si="0"/>
        <v>7.5345952146694151</v>
      </c>
      <c r="Q17" s="168">
        <f t="shared" si="0"/>
        <v>7.2775284411258356</v>
      </c>
      <c r="R17" s="18"/>
      <c r="S17" s="18">
        <f t="shared" si="0"/>
        <v>12.007351349641882</v>
      </c>
      <c r="T17" s="18">
        <f t="shared" si="0"/>
        <v>1.195986179812758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2:31" x14ac:dyDescent="0.25">
      <c r="B18" s="202">
        <v>2005</v>
      </c>
      <c r="C18" s="89">
        <v>6542159.3830000032</v>
      </c>
      <c r="D18" s="89">
        <f>190531600/1000</f>
        <v>190531.6</v>
      </c>
      <c r="E18" s="66"/>
      <c r="F18" s="127">
        <f>97276738/1000</f>
        <v>97276.737999999998</v>
      </c>
      <c r="G18" s="127">
        <f>93254862/1000</f>
        <v>93254.861999999994</v>
      </c>
      <c r="H18" s="87"/>
      <c r="I18" s="127">
        <f>116295565/1000</f>
        <v>116295.565</v>
      </c>
      <c r="J18" s="127">
        <f>74236035/1000</f>
        <v>74236.035000000003</v>
      </c>
      <c r="K18" s="66"/>
      <c r="L18" s="66"/>
      <c r="M18" s="18">
        <f t="shared" si="2"/>
        <v>6.4630096387348956</v>
      </c>
      <c r="N18" s="18">
        <f t="shared" si="1"/>
        <v>10.386385197903891</v>
      </c>
      <c r="O18" s="18"/>
      <c r="P18" s="168">
        <f t="shared" si="0"/>
        <v>11.138519902202582</v>
      </c>
      <c r="Q18" s="168">
        <f t="shared" si="0"/>
        <v>9.6125847916395113</v>
      </c>
      <c r="R18" s="18"/>
      <c r="S18" s="18">
        <f t="shared" si="0"/>
        <v>12.452072365735866</v>
      </c>
      <c r="T18" s="18">
        <f t="shared" si="0"/>
        <v>7.2986521924848224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x14ac:dyDescent="0.25">
      <c r="B19" s="202">
        <v>2010</v>
      </c>
      <c r="C19" s="89">
        <v>6958169.1589999981</v>
      </c>
      <c r="D19" s="89">
        <f>220019266/1000</f>
        <v>220019.266</v>
      </c>
      <c r="E19" s="66"/>
      <c r="F19" s="91">
        <f>113583838/1000</f>
        <v>113583.838</v>
      </c>
      <c r="G19" s="91">
        <f>106435428/1000</f>
        <v>106435.428</v>
      </c>
      <c r="H19" s="87"/>
      <c r="I19" s="127">
        <f>130683517/1000</f>
        <v>130683.51700000001</v>
      </c>
      <c r="J19" s="127">
        <f>89335749/1000</f>
        <v>89335.748999999996</v>
      </c>
      <c r="K19" s="66"/>
      <c r="L19" s="66"/>
      <c r="M19" s="18">
        <f t="shared" si="2"/>
        <v>6.3589061599601093</v>
      </c>
      <c r="N19" s="18">
        <f t="shared" si="1"/>
        <v>15.476522529596149</v>
      </c>
      <c r="O19" s="18"/>
      <c r="P19" s="168">
        <f>((F19/F18)-1)*100</f>
        <v>16.763617217509918</v>
      </c>
      <c r="Q19" s="168">
        <f t="shared" si="0"/>
        <v>14.133918293718573</v>
      </c>
      <c r="R19" s="18"/>
      <c r="S19" s="18">
        <f t="shared" si="0"/>
        <v>12.371883656956317</v>
      </c>
      <c r="T19" s="18">
        <f t="shared" si="0"/>
        <v>20.340140741622292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2:31" x14ac:dyDescent="0.25">
      <c r="B20" s="202">
        <v>2015</v>
      </c>
      <c r="C20" s="89">
        <v>7383008.8199999956</v>
      </c>
      <c r="D20" s="89">
        <f>247585744/1000</f>
        <v>247585.74400000001</v>
      </c>
      <c r="E20" s="66"/>
      <c r="F20" s="127">
        <f>127597596/1000</f>
        <v>127597.59600000001</v>
      </c>
      <c r="G20" s="127">
        <f>119988148/1000</f>
        <v>119988.148</v>
      </c>
      <c r="H20" s="87"/>
      <c r="I20" s="127">
        <f>140250197/1000</f>
        <v>140250.19699999999</v>
      </c>
      <c r="J20" s="127">
        <f>107335547/1000</f>
        <v>107335.54700000001</v>
      </c>
      <c r="K20" s="66"/>
      <c r="L20" s="66"/>
      <c r="M20" s="18">
        <f>((C20/C19)-1)*100</f>
        <v>6.105624213669647</v>
      </c>
      <c r="N20" s="18">
        <f t="shared" si="1"/>
        <v>12.529120063512988</v>
      </c>
      <c r="O20" s="18"/>
      <c r="P20" s="168">
        <f>((F20/F19)-1)*100</f>
        <v>12.33780989157982</v>
      </c>
      <c r="Q20" s="168">
        <f t="shared" si="0"/>
        <v>12.733278998041886</v>
      </c>
      <c r="R20" s="18"/>
      <c r="S20" s="18">
        <f t="shared" si="0"/>
        <v>7.3204947491579908</v>
      </c>
      <c r="T20" s="18">
        <f t="shared" si="0"/>
        <v>20.14848277591539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2:31" x14ac:dyDescent="0.25">
      <c r="B21" s="214">
        <v>2017</v>
      </c>
      <c r="C21" s="89">
        <v>7550262.1009999998</v>
      </c>
      <c r="D21" s="89">
        <f>257715425/1000</f>
        <v>257715.42499999999</v>
      </c>
      <c r="E21" s="66"/>
      <c r="F21" s="127">
        <f>133078858/1000</f>
        <v>133078.85800000001</v>
      </c>
      <c r="G21" s="127">
        <f>124636567/1000</f>
        <v>124636.567</v>
      </c>
      <c r="H21" s="87"/>
      <c r="I21" s="127">
        <f>145983830/1000</f>
        <v>145983.82999999999</v>
      </c>
      <c r="J21" s="127">
        <f>111731595/1000</f>
        <v>111731.595</v>
      </c>
      <c r="K21" s="66"/>
      <c r="L21" s="66"/>
      <c r="M21" s="18">
        <f>((C21/C20)-1)*100</f>
        <v>2.2653810265935048</v>
      </c>
      <c r="N21" s="18">
        <f>((D21/D20)-1)*100</f>
        <v>4.0913829836664473</v>
      </c>
      <c r="O21" s="18"/>
      <c r="P21" s="168">
        <f>((F21/F20)-1)*100</f>
        <v>4.2957408069036029</v>
      </c>
      <c r="Q21" s="168">
        <f>((G21/G20)-1)*100</f>
        <v>3.8740651284991934</v>
      </c>
      <c r="R21" s="18"/>
      <c r="S21" s="18">
        <f>((I21/I20)-1)*100</f>
        <v>4.0881461293063248</v>
      </c>
      <c r="T21" s="18">
        <f>((J21/J20)-1)*100</f>
        <v>4.0956124255834725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5.25" customHeight="1" thickBot="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3.75" customHeight="1" x14ac:dyDescent="0.2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44"/>
      <c r="R23" s="2"/>
      <c r="S23" s="2"/>
      <c r="T23" s="2"/>
      <c r="U23" s="2"/>
      <c r="V23" s="2"/>
      <c r="W23" s="2"/>
    </row>
    <row r="24" spans="2:31" x14ac:dyDescent="0.25">
      <c r="B24" s="227" t="s">
        <v>94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</row>
    <row r="25" spans="2:31" x14ac:dyDescent="0.25">
      <c r="B25" s="228" t="s">
        <v>48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31" x14ac:dyDescent="0.25">
      <c r="B26" s="222" t="s">
        <v>119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</row>
    <row r="27" spans="2:31" x14ac:dyDescent="0.25">
      <c r="B27" s="222" t="s">
        <v>78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</row>
    <row r="28" spans="2:31" x14ac:dyDescent="0.25">
      <c r="B28" s="222" t="s">
        <v>78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</row>
    <row r="29" spans="2:3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69"/>
      <c r="R29" s="2"/>
    </row>
    <row r="30" spans="2:31" ht="30" customHeigh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70"/>
      <c r="R30" s="171"/>
    </row>
    <row r="31" spans="2:3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70"/>
    </row>
    <row r="32" spans="2:3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70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70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8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8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17">
    <mergeCell ref="E2:T4"/>
    <mergeCell ref="B5:B8"/>
    <mergeCell ref="C5:J5"/>
    <mergeCell ref="M5:T5"/>
    <mergeCell ref="C6:C8"/>
    <mergeCell ref="D6:D8"/>
    <mergeCell ref="F6:G7"/>
    <mergeCell ref="I6:J7"/>
    <mergeCell ref="M6:M8"/>
    <mergeCell ref="N6:N8"/>
    <mergeCell ref="B28:P28"/>
    <mergeCell ref="P6:Q7"/>
    <mergeCell ref="S6:T7"/>
    <mergeCell ref="B24:S24"/>
    <mergeCell ref="B25:T25"/>
    <mergeCell ref="B26:T26"/>
    <mergeCell ref="B27:P27"/>
  </mergeCells>
  <hyperlinks>
    <hyperlink ref="B27" r:id="rId1"/>
    <hyperlink ref="B28" r:id="rId2"/>
  </hyperlinks>
  <pageMargins left="0.70866141732283472" right="0.70866141732283472" top="0.74803149606299213" bottom="0.74803149606299213" header="0.31496062992125984" footer="0.31496062992125984"/>
  <pageSetup scale="5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zoomScale="115" zoomScaleNormal="115" workbookViewId="0">
      <selection activeCell="P27" sqref="P27"/>
    </sheetView>
  </sheetViews>
  <sheetFormatPr baseColWidth="10" defaultRowHeight="15" x14ac:dyDescent="0.25"/>
  <cols>
    <col min="1" max="1" width="3.5703125" style="64" customWidth="1"/>
    <col min="2" max="2" width="7.85546875" style="64" customWidth="1"/>
    <col min="3" max="3" width="11.42578125" style="64"/>
    <col min="4" max="4" width="14.42578125" style="64" customWidth="1"/>
    <col min="5" max="5" width="4.85546875" style="64" customWidth="1"/>
    <col min="6" max="6" width="10.7109375" style="64" customWidth="1"/>
    <col min="7" max="8" width="10" style="64" customWidth="1"/>
    <col min="9" max="9" width="10" style="129" customWidth="1"/>
    <col min="10" max="10" width="5.5703125" style="64" customWidth="1"/>
    <col min="11" max="11" width="5.5703125" style="129" customWidth="1"/>
    <col min="12" max="12" width="4.7109375" style="64" customWidth="1"/>
    <col min="13" max="13" width="11.42578125" style="64"/>
    <col min="14" max="14" width="6" style="64" customWidth="1"/>
    <col min="15" max="15" width="14.7109375" style="64" bestFit="1" customWidth="1"/>
    <col min="16" max="17" width="11.42578125" style="64"/>
    <col min="18" max="18" width="11.85546875" style="64" bestFit="1" customWidth="1"/>
    <col min="19" max="19" width="11.42578125" style="64"/>
    <col min="20" max="20" width="11.85546875" style="64" bestFit="1" customWidth="1"/>
    <col min="21" max="16384" width="11.42578125" style="64"/>
  </cols>
  <sheetData>
    <row r="1" spans="1:22" ht="23.25" customHeight="1" x14ac:dyDescent="0.25"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22" ht="59.25" customHeight="1" x14ac:dyDescent="0.25">
      <c r="E2" s="46"/>
      <c r="F2" s="236" t="s">
        <v>111</v>
      </c>
      <c r="G2" s="236"/>
      <c r="H2" s="236"/>
      <c r="I2" s="236"/>
      <c r="J2" s="236"/>
      <c r="K2" s="236"/>
      <c r="L2" s="236"/>
      <c r="M2" s="236"/>
      <c r="N2" s="236"/>
      <c r="O2" s="236"/>
    </row>
    <row r="3" spans="1:22" ht="24" hidden="1" thickBot="1" x14ac:dyDescent="0.3">
      <c r="E3" s="4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22" ht="24" hidden="1" thickBot="1" x14ac:dyDescent="0.3">
      <c r="B4" s="47"/>
      <c r="C4" s="47"/>
      <c r="D4" s="47"/>
      <c r="E4" s="45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22" s="129" customFormat="1" ht="24" thickBot="1" x14ac:dyDescent="0.3">
      <c r="B5" s="28"/>
      <c r="C5" s="28"/>
      <c r="D5" s="28"/>
      <c r="E5" s="203"/>
      <c r="F5" s="201"/>
      <c r="G5" s="201"/>
      <c r="H5" s="201"/>
      <c r="I5" s="213"/>
      <c r="J5" s="201"/>
      <c r="K5" s="213"/>
      <c r="L5" s="201"/>
      <c r="M5" s="201"/>
      <c r="N5" s="201"/>
      <c r="O5" s="201"/>
    </row>
    <row r="6" spans="1:22" ht="15" customHeight="1" x14ac:dyDescent="0.25">
      <c r="A6" s="28"/>
      <c r="B6" s="238" t="s">
        <v>35</v>
      </c>
      <c r="C6" s="238"/>
      <c r="D6" s="238"/>
      <c r="E6" s="52"/>
      <c r="F6" s="225" t="s">
        <v>104</v>
      </c>
      <c r="G6" s="225"/>
      <c r="H6" s="225"/>
      <c r="I6" s="225"/>
      <c r="J6" s="52"/>
      <c r="K6" s="52"/>
      <c r="L6" s="53"/>
      <c r="M6" s="54" t="s">
        <v>36</v>
      </c>
      <c r="N6" s="52"/>
      <c r="O6" s="166" t="s">
        <v>37</v>
      </c>
      <c r="P6" s="28"/>
    </row>
    <row r="7" spans="1:22" x14ac:dyDescent="0.25">
      <c r="A7" s="28"/>
      <c r="B7" s="239"/>
      <c r="C7" s="239"/>
      <c r="D7" s="239"/>
      <c r="E7" s="55"/>
      <c r="F7" s="226"/>
      <c r="G7" s="226"/>
      <c r="H7" s="226"/>
      <c r="I7" s="226"/>
      <c r="J7" s="55"/>
      <c r="K7" s="55"/>
      <c r="L7" s="165"/>
      <c r="M7" s="153" t="s">
        <v>38</v>
      </c>
      <c r="N7" s="55"/>
      <c r="O7" s="22" t="s">
        <v>39</v>
      </c>
      <c r="P7" s="28"/>
    </row>
    <row r="8" spans="1:22" ht="15.75" thickBot="1" x14ac:dyDescent="0.3">
      <c r="A8" s="28"/>
      <c r="B8" s="240"/>
      <c r="C8" s="240"/>
      <c r="D8" s="240"/>
      <c r="E8" s="56"/>
      <c r="F8" s="108">
        <v>2005</v>
      </c>
      <c r="G8" s="108">
        <v>2010</v>
      </c>
      <c r="H8" s="108">
        <v>2015</v>
      </c>
      <c r="I8" s="108">
        <v>2017</v>
      </c>
      <c r="J8" s="57"/>
      <c r="K8" s="57"/>
      <c r="L8" s="154"/>
      <c r="M8" s="154" t="s">
        <v>113</v>
      </c>
      <c r="N8" s="56"/>
      <c r="O8" s="154" t="s">
        <v>69</v>
      </c>
      <c r="P8" s="28"/>
      <c r="R8" s="129"/>
      <c r="S8" s="129"/>
      <c r="T8" s="129"/>
      <c r="U8" s="129"/>
      <c r="V8" s="129"/>
    </row>
    <row r="9" spans="1:22" x14ac:dyDescent="0.25">
      <c r="B9" s="50"/>
      <c r="C9" s="50"/>
      <c r="D9" s="50"/>
      <c r="E9" s="49"/>
      <c r="F9" s="82"/>
      <c r="G9" s="82"/>
      <c r="H9" s="82"/>
      <c r="I9" s="82"/>
      <c r="J9" s="82"/>
      <c r="K9" s="82"/>
      <c r="L9" s="49"/>
      <c r="M9" s="49"/>
      <c r="N9" s="49"/>
      <c r="O9" s="51"/>
      <c r="R9" s="129"/>
      <c r="S9" s="129"/>
      <c r="T9" s="129"/>
      <c r="U9" s="129"/>
      <c r="V9" s="129"/>
    </row>
    <row r="10" spans="1:22" x14ac:dyDescent="0.25">
      <c r="B10" s="241" t="s">
        <v>71</v>
      </c>
      <c r="C10" s="241"/>
      <c r="D10" s="241"/>
      <c r="E10" s="58"/>
      <c r="F10" s="88">
        <f>190531600/1000</f>
        <v>190531.6</v>
      </c>
      <c r="G10" s="89">
        <f>220019266/1000</f>
        <v>220019.266</v>
      </c>
      <c r="H10" s="88">
        <f>247585744/1000</f>
        <v>247585.74400000001</v>
      </c>
      <c r="I10" s="88">
        <f>257715425/1000</f>
        <v>257715.42499999999</v>
      </c>
      <c r="J10" s="92"/>
      <c r="K10" s="92"/>
      <c r="L10" s="88"/>
      <c r="M10" s="88">
        <f>I10-F10</f>
        <v>67183.824999999983</v>
      </c>
      <c r="N10" s="88"/>
      <c r="O10" s="109">
        <f>((I10-F10)/F10)*100</f>
        <v>35.261250627192538</v>
      </c>
      <c r="R10" s="129"/>
      <c r="S10" s="129"/>
      <c r="T10" s="129"/>
      <c r="U10" s="129"/>
      <c r="V10" s="129"/>
    </row>
    <row r="11" spans="1:22" ht="15.75" x14ac:dyDescent="0.25">
      <c r="B11" s="49"/>
      <c r="C11" s="237" t="s">
        <v>40</v>
      </c>
      <c r="D11" s="237"/>
      <c r="E11" s="49"/>
      <c r="F11" s="127">
        <f>116295565/1000</f>
        <v>116295.565</v>
      </c>
      <c r="G11" s="127">
        <f>130683517/1000</f>
        <v>130683.51700000001</v>
      </c>
      <c r="H11" s="127">
        <f>140250197/1000</f>
        <v>140250.19699999999</v>
      </c>
      <c r="I11" s="127">
        <f>145983830/1000</f>
        <v>145983.82999999999</v>
      </c>
      <c r="J11" s="93"/>
      <c r="K11" s="93"/>
      <c r="L11" s="112"/>
      <c r="M11" s="127">
        <f t="shared" ref="M11:M12" si="0">I11-F11</f>
        <v>29688.264999999985</v>
      </c>
      <c r="N11" s="112"/>
      <c r="O11" s="218">
        <f t="shared" ref="O11:O12" si="1">((I11-F11)/F11)*100</f>
        <v>25.528286482807822</v>
      </c>
      <c r="Q11" s="216"/>
      <c r="R11" s="129"/>
      <c r="S11" s="129"/>
      <c r="T11" s="129"/>
      <c r="U11" s="129"/>
      <c r="V11" s="129"/>
    </row>
    <row r="12" spans="1:22" x14ac:dyDescent="0.25">
      <c r="B12" s="49"/>
      <c r="C12" s="237" t="s">
        <v>47</v>
      </c>
      <c r="D12" s="237"/>
      <c r="E12" s="49"/>
      <c r="F12" s="127">
        <f>74236035/1000</f>
        <v>74236.035000000003</v>
      </c>
      <c r="G12" s="127">
        <f>89335749/1000</f>
        <v>89335.748999999996</v>
      </c>
      <c r="H12" s="127">
        <f>107335547/1000</f>
        <v>107335.54700000001</v>
      </c>
      <c r="I12" s="127">
        <f>111731595/1000</f>
        <v>111731.595</v>
      </c>
      <c r="J12" s="93"/>
      <c r="K12" s="93"/>
      <c r="L12" s="112"/>
      <c r="M12" s="127">
        <f t="shared" si="0"/>
        <v>37495.56</v>
      </c>
      <c r="N12" s="112"/>
      <c r="O12" s="218">
        <f t="shared" si="1"/>
        <v>50.508570399806509</v>
      </c>
      <c r="Q12" s="216"/>
      <c r="R12" s="129"/>
      <c r="S12" s="129"/>
      <c r="T12" s="129"/>
      <c r="U12" s="129"/>
      <c r="V12" s="129"/>
    </row>
    <row r="13" spans="1:22" x14ac:dyDescent="0.25">
      <c r="B13" s="49"/>
      <c r="C13" s="49"/>
      <c r="D13" s="49"/>
      <c r="E13" s="49"/>
      <c r="F13" s="94"/>
      <c r="G13" s="94"/>
      <c r="H13" s="94"/>
      <c r="I13" s="94"/>
      <c r="J13" s="93"/>
      <c r="K13" s="93"/>
      <c r="L13" s="110"/>
      <c r="M13" s="111"/>
      <c r="N13" s="93"/>
      <c r="O13" s="95"/>
      <c r="Q13" s="216"/>
      <c r="R13" s="129"/>
      <c r="S13" s="129"/>
      <c r="T13" s="129"/>
      <c r="U13" s="129"/>
      <c r="V13" s="129"/>
    </row>
    <row r="14" spans="1:22" x14ac:dyDescent="0.25">
      <c r="B14" s="241" t="s">
        <v>70</v>
      </c>
      <c r="C14" s="241"/>
      <c r="D14" s="241"/>
      <c r="E14" s="62"/>
      <c r="F14" s="88">
        <f>SUM(F15:F20)</f>
        <v>190531.6</v>
      </c>
      <c r="G14" s="89">
        <f t="shared" ref="G14:I14" si="2">SUM(G15:G20)</f>
        <v>220019.26599999997</v>
      </c>
      <c r="H14" s="88">
        <f t="shared" si="2"/>
        <v>247585.74400000001</v>
      </c>
      <c r="I14" s="88">
        <f t="shared" si="2"/>
        <v>257715.42500000002</v>
      </c>
      <c r="J14" s="96"/>
      <c r="K14" s="96"/>
      <c r="L14" s="88"/>
      <c r="M14" s="88">
        <f>I14-F14</f>
        <v>67183.825000000012</v>
      </c>
      <c r="N14" s="88"/>
      <c r="O14" s="109">
        <f>((I14-F14)/F14)*100</f>
        <v>35.261250627192553</v>
      </c>
      <c r="Q14" s="216"/>
      <c r="R14" s="129"/>
      <c r="S14" s="129"/>
      <c r="T14" s="129"/>
      <c r="U14" s="129"/>
      <c r="V14" s="129"/>
    </row>
    <row r="15" spans="1:22" x14ac:dyDescent="0.25">
      <c r="B15" s="49"/>
      <c r="C15" s="237" t="s">
        <v>41</v>
      </c>
      <c r="D15" s="237"/>
      <c r="E15" s="49"/>
      <c r="F15" s="127">
        <f>15462306/1000</f>
        <v>15462.306</v>
      </c>
      <c r="G15" s="127">
        <f>17007249/1000</f>
        <v>17007.249</v>
      </c>
      <c r="H15" s="127">
        <f>23436088/1000</f>
        <v>23436.088</v>
      </c>
      <c r="I15" s="127">
        <f>24650223/1000</f>
        <v>24650.223000000002</v>
      </c>
      <c r="J15" s="86"/>
      <c r="K15" s="86"/>
      <c r="L15" s="112"/>
      <c r="M15" s="127">
        <f t="shared" ref="M15:M20" si="3">I15-F15</f>
        <v>9187.9170000000013</v>
      </c>
      <c r="N15" s="112"/>
      <c r="O15" s="218">
        <f t="shared" ref="O15:O20" si="4">((I15-F15)/F15)*100</f>
        <v>59.421389021792749</v>
      </c>
      <c r="P15" s="129"/>
      <c r="R15" s="129"/>
      <c r="S15" s="129"/>
      <c r="T15" s="129"/>
      <c r="U15" s="129"/>
      <c r="V15" s="129"/>
    </row>
    <row r="16" spans="1:22" x14ac:dyDescent="0.25">
      <c r="B16" s="49"/>
      <c r="C16" s="237" t="s">
        <v>42</v>
      </c>
      <c r="D16" s="237"/>
      <c r="E16" s="49"/>
      <c r="F16" s="127">
        <f>53243730/1000</f>
        <v>53243.73</v>
      </c>
      <c r="G16" s="127">
        <f>65921788/1000</f>
        <v>65921.788</v>
      </c>
      <c r="H16" s="127">
        <f>76558152/1000</f>
        <v>76558.152000000002</v>
      </c>
      <c r="I16" s="127">
        <f>79586709/1000</f>
        <v>79586.709000000003</v>
      </c>
      <c r="J16" s="86"/>
      <c r="K16" s="86"/>
      <c r="L16" s="112"/>
      <c r="M16" s="127">
        <f t="shared" si="3"/>
        <v>26342.978999999999</v>
      </c>
      <c r="N16" s="112"/>
      <c r="O16" s="218">
        <f t="shared" si="4"/>
        <v>49.476208747959618</v>
      </c>
      <c r="P16" s="129"/>
      <c r="R16" s="129"/>
      <c r="S16" s="129"/>
      <c r="T16" s="129"/>
      <c r="U16" s="129"/>
      <c r="V16" s="129"/>
    </row>
    <row r="17" spans="2:22" x14ac:dyDescent="0.25">
      <c r="B17" s="49"/>
      <c r="C17" s="237" t="s">
        <v>43</v>
      </c>
      <c r="D17" s="237"/>
      <c r="E17" s="49"/>
      <c r="F17" s="127">
        <f>63201280/1000</f>
        <v>63201.279999999999</v>
      </c>
      <c r="G17" s="127">
        <f>70747947/1000</f>
        <v>70747.947</v>
      </c>
      <c r="H17" s="127">
        <f>74501508/1000</f>
        <v>74501.508000000002</v>
      </c>
      <c r="I17" s="127">
        <f>77895217/1000</f>
        <v>77895.217000000004</v>
      </c>
      <c r="J17" s="86"/>
      <c r="K17" s="86"/>
      <c r="L17" s="112"/>
      <c r="M17" s="127">
        <f t="shared" si="3"/>
        <v>14693.937000000005</v>
      </c>
      <c r="N17" s="112"/>
      <c r="O17" s="218">
        <f t="shared" si="4"/>
        <v>23.249429441935362</v>
      </c>
      <c r="P17" s="129"/>
      <c r="R17" s="129"/>
      <c r="S17" s="129"/>
      <c r="T17" s="129"/>
      <c r="U17" s="129"/>
      <c r="V17" s="129"/>
    </row>
    <row r="18" spans="2:22" x14ac:dyDescent="0.25">
      <c r="B18" s="49"/>
      <c r="C18" s="237" t="s">
        <v>44</v>
      </c>
      <c r="D18" s="237"/>
      <c r="E18" s="49"/>
      <c r="F18" s="127">
        <f>7237476/1000</f>
        <v>7237.4759999999997</v>
      </c>
      <c r="G18" s="127">
        <f>8246652/1000</f>
        <v>8246.652</v>
      </c>
      <c r="H18" s="127">
        <f>9272027/1000</f>
        <v>9272.027</v>
      </c>
      <c r="I18" s="127">
        <f>9508189/1000</f>
        <v>9508.1890000000003</v>
      </c>
      <c r="J18" s="86"/>
      <c r="K18" s="86"/>
      <c r="L18" s="112"/>
      <c r="M18" s="127">
        <f t="shared" si="3"/>
        <v>2270.7130000000006</v>
      </c>
      <c r="N18" s="112"/>
      <c r="O18" s="218">
        <f t="shared" si="4"/>
        <v>31.374376923667874</v>
      </c>
      <c r="P18" s="129"/>
      <c r="R18" s="129"/>
    </row>
    <row r="19" spans="2:22" x14ac:dyDescent="0.25">
      <c r="B19" s="49"/>
      <c r="C19" s="237" t="s">
        <v>45</v>
      </c>
      <c r="D19" s="237"/>
      <c r="E19" s="49"/>
      <c r="F19" s="127">
        <f>45363387/1000</f>
        <v>45363.387000000002</v>
      </c>
      <c r="G19" s="127">
        <f>50970996/1000</f>
        <v>50970.995999999999</v>
      </c>
      <c r="H19" s="127">
        <f>55766224/1000</f>
        <v>55766.224000000002</v>
      </c>
      <c r="I19" s="127">
        <f>57664154/1000</f>
        <v>57664.154000000002</v>
      </c>
      <c r="J19" s="86"/>
      <c r="K19" s="86"/>
      <c r="L19" s="112"/>
      <c r="M19" s="127">
        <f t="shared" si="3"/>
        <v>12300.767</v>
      </c>
      <c r="N19" s="112"/>
      <c r="O19" s="218">
        <f t="shared" si="4"/>
        <v>27.11606829534135</v>
      </c>
      <c r="P19" s="129"/>
      <c r="R19" s="129"/>
    </row>
    <row r="20" spans="2:22" x14ac:dyDescent="0.25">
      <c r="B20" s="49"/>
      <c r="C20" s="237" t="s">
        <v>46</v>
      </c>
      <c r="D20" s="237"/>
      <c r="E20" s="49"/>
      <c r="F20" s="127">
        <f>6023421/1000</f>
        <v>6023.4210000000003</v>
      </c>
      <c r="G20" s="127">
        <f>7124634/1000</f>
        <v>7124.634</v>
      </c>
      <c r="H20" s="127">
        <f>8051745/1000</f>
        <v>8051.7449999999999</v>
      </c>
      <c r="I20" s="127">
        <f>8410933/1000</f>
        <v>8410.9330000000009</v>
      </c>
      <c r="J20" s="86"/>
      <c r="K20" s="86"/>
      <c r="L20" s="112"/>
      <c r="M20" s="127">
        <f t="shared" si="3"/>
        <v>2387.5120000000006</v>
      </c>
      <c r="N20" s="112"/>
      <c r="O20" s="218">
        <f t="shared" si="4"/>
        <v>39.637143078659129</v>
      </c>
      <c r="P20" s="129"/>
      <c r="R20" s="129"/>
    </row>
    <row r="21" spans="2:22" s="122" customFormat="1" ht="4.5" customHeight="1" x14ac:dyDescent="0.25">
      <c r="B21" s="49"/>
      <c r="C21" s="114"/>
      <c r="D21" s="114"/>
      <c r="E21" s="49"/>
      <c r="F21" s="127"/>
      <c r="G21" s="127"/>
      <c r="H21" s="127"/>
      <c r="I21" s="127"/>
      <c r="J21" s="86"/>
      <c r="K21" s="86"/>
      <c r="L21" s="112"/>
      <c r="M21" s="112"/>
      <c r="N21" s="112"/>
      <c r="O21" s="113"/>
      <c r="P21" s="129"/>
    </row>
    <row r="22" spans="2:22" s="122" customFormat="1" x14ac:dyDescent="0.25">
      <c r="B22" s="241" t="s">
        <v>72</v>
      </c>
      <c r="C22" s="241"/>
      <c r="D22" s="241"/>
      <c r="E22" s="62"/>
      <c r="F22" s="89">
        <f>SUM(F23:F30)</f>
        <v>190531.60000000003</v>
      </c>
      <c r="G22" s="89">
        <f>SUM(G23:G30)</f>
        <v>220019.266</v>
      </c>
      <c r="H22" s="88">
        <f>SUM(H23:H30)</f>
        <v>247585.74399999998</v>
      </c>
      <c r="I22" s="88">
        <f>SUM(I23:I30)</f>
        <v>257715.42499999996</v>
      </c>
      <c r="J22" s="96"/>
      <c r="K22" s="96"/>
      <c r="L22" s="88"/>
      <c r="M22" s="88">
        <f>I22-F22</f>
        <v>67183.824999999924</v>
      </c>
      <c r="N22" s="88"/>
      <c r="O22" s="109">
        <f>((I22-F22)/F22)*100</f>
        <v>35.261250627192503</v>
      </c>
      <c r="P22" s="129"/>
    </row>
    <row r="23" spans="2:22" s="122" customFormat="1" x14ac:dyDescent="0.25">
      <c r="B23" s="49"/>
      <c r="C23" s="237" t="s">
        <v>41</v>
      </c>
      <c r="D23" s="237"/>
      <c r="E23" s="49"/>
      <c r="F23" s="127">
        <f>24524794/1000</f>
        <v>24524.794000000002</v>
      </c>
      <c r="G23" s="127">
        <f>28171118/1000</f>
        <v>28171.117999999999</v>
      </c>
      <c r="H23" s="127">
        <f>34591470/1000</f>
        <v>34591.47</v>
      </c>
      <c r="I23" s="127">
        <f>36266428/1000</f>
        <v>36266.428</v>
      </c>
      <c r="J23" s="86"/>
      <c r="K23" s="86"/>
      <c r="L23" s="112"/>
      <c r="M23" s="127">
        <f t="shared" ref="M23:M30" si="5">I23-F23</f>
        <v>11741.633999999998</v>
      </c>
      <c r="N23" s="112"/>
      <c r="O23" s="218">
        <f t="shared" ref="O23:O30" si="6">((I23-F23)/F23)*100</f>
        <v>47.876585630036274</v>
      </c>
      <c r="Q23" s="217"/>
      <c r="S23" s="215"/>
    </row>
    <row r="24" spans="2:22" s="122" customFormat="1" x14ac:dyDescent="0.25">
      <c r="B24" s="49"/>
      <c r="C24" s="237" t="s">
        <v>42</v>
      </c>
      <c r="D24" s="237"/>
      <c r="E24" s="49"/>
      <c r="F24" s="127">
        <f>72517178/1000</f>
        <v>72517.178</v>
      </c>
      <c r="G24" s="127">
        <f>88051444/1000</f>
        <v>88051.444000000003</v>
      </c>
      <c r="H24" s="127">
        <f>101614222/1000</f>
        <v>101614.22199999999</v>
      </c>
      <c r="I24" s="127">
        <f>105684094/1000</f>
        <v>105684.094</v>
      </c>
      <c r="J24" s="86"/>
      <c r="K24" s="86"/>
      <c r="L24" s="112"/>
      <c r="M24" s="127">
        <f t="shared" si="5"/>
        <v>33166.915999999997</v>
      </c>
      <c r="N24" s="112"/>
      <c r="O24" s="218">
        <f t="shared" si="6"/>
        <v>45.736633601489565</v>
      </c>
      <c r="Q24" s="217"/>
      <c r="S24" s="215"/>
      <c r="T24" s="129"/>
    </row>
    <row r="25" spans="2:22" s="122" customFormat="1" x14ac:dyDescent="0.25">
      <c r="B25" s="49"/>
      <c r="C25" s="237" t="s">
        <v>43</v>
      </c>
      <c r="D25" s="237"/>
      <c r="E25" s="49"/>
      <c r="F25" s="127">
        <f>51441781/1000</f>
        <v>51441.781000000003</v>
      </c>
      <c r="G25" s="127">
        <f>55248484/1000</f>
        <v>55248.483999999997</v>
      </c>
      <c r="H25" s="127">
        <f>58563513/1000</f>
        <v>58563.512999999999</v>
      </c>
      <c r="I25" s="127">
        <f>61190900/1000</f>
        <v>61190.9</v>
      </c>
      <c r="J25" s="86"/>
      <c r="K25" s="86"/>
      <c r="L25" s="112"/>
      <c r="M25" s="127">
        <f t="shared" si="5"/>
        <v>9749.1189999999988</v>
      </c>
      <c r="N25" s="112"/>
      <c r="O25" s="218">
        <f t="shared" si="6"/>
        <v>18.951752467512737</v>
      </c>
      <c r="Q25" s="217"/>
      <c r="S25" s="215"/>
      <c r="T25" s="129"/>
    </row>
    <row r="26" spans="2:22" s="122" customFormat="1" x14ac:dyDescent="0.25">
      <c r="B26" s="49"/>
      <c r="C26" s="237" t="s">
        <v>44</v>
      </c>
      <c r="D26" s="237"/>
      <c r="E26" s="49"/>
      <c r="F26" s="127">
        <f>29384001/1000</f>
        <v>29384.001</v>
      </c>
      <c r="G26" s="127">
        <f>34715263/1000</f>
        <v>34715.262999999999</v>
      </c>
      <c r="H26" s="127">
        <f>36641978/1000</f>
        <v>36641.978000000003</v>
      </c>
      <c r="I26" s="127">
        <f>37719998/1000</f>
        <v>37719.998</v>
      </c>
      <c r="J26" s="86"/>
      <c r="K26" s="86"/>
      <c r="L26" s="112"/>
      <c r="M26" s="127">
        <f t="shared" si="5"/>
        <v>8335.9969999999994</v>
      </c>
      <c r="N26" s="112"/>
      <c r="O26" s="218">
        <f t="shared" si="6"/>
        <v>28.369169331296984</v>
      </c>
      <c r="Q26" s="217"/>
      <c r="S26" s="215"/>
      <c r="T26" s="129"/>
    </row>
    <row r="27" spans="2:22" s="122" customFormat="1" x14ac:dyDescent="0.25">
      <c r="B27" s="49"/>
      <c r="C27" s="237" t="s">
        <v>45</v>
      </c>
      <c r="D27" s="237"/>
      <c r="E27" s="49"/>
      <c r="F27" s="127">
        <f>3502615/1000</f>
        <v>3502.6149999999998</v>
      </c>
      <c r="G27" s="127">
        <f>3955950/1000</f>
        <v>3955.95</v>
      </c>
      <c r="H27" s="127">
        <f>4266981/1000</f>
        <v>4266.9809999999998</v>
      </c>
      <c r="I27" s="127">
        <f>4413288/1000</f>
        <v>4413.2879999999996</v>
      </c>
      <c r="J27" s="86"/>
      <c r="K27" s="86"/>
      <c r="L27" s="112"/>
      <c r="M27" s="127">
        <f t="shared" si="5"/>
        <v>910.67299999999977</v>
      </c>
      <c r="N27" s="112"/>
      <c r="O27" s="218">
        <f t="shared" si="6"/>
        <v>25.999803004326761</v>
      </c>
      <c r="Q27" s="217"/>
      <c r="S27" s="215"/>
      <c r="T27" s="129"/>
    </row>
    <row r="28" spans="2:22" s="122" customFormat="1" x14ac:dyDescent="0.25">
      <c r="B28" s="49"/>
      <c r="C28" s="237" t="s">
        <v>46</v>
      </c>
      <c r="D28" s="237"/>
      <c r="E28" s="49"/>
      <c r="F28" s="127">
        <f>1391303/1000</f>
        <v>1391.3030000000001</v>
      </c>
      <c r="G28" s="127">
        <f>1591767/1000</f>
        <v>1591.7670000000001</v>
      </c>
      <c r="H28" s="127">
        <f>1806069/1000</f>
        <v>1806.069</v>
      </c>
      <c r="I28" s="127">
        <f>1880476/1000</f>
        <v>1880.4760000000001</v>
      </c>
      <c r="J28" s="86"/>
      <c r="K28" s="86"/>
      <c r="L28" s="112"/>
      <c r="M28" s="127">
        <f t="shared" si="5"/>
        <v>489.173</v>
      </c>
      <c r="N28" s="112"/>
      <c r="O28" s="218">
        <f t="shared" si="6"/>
        <v>35.159343435613948</v>
      </c>
      <c r="Q28" s="217"/>
      <c r="S28" s="215"/>
      <c r="T28" s="129"/>
    </row>
    <row r="29" spans="2:22" s="123" customFormat="1" x14ac:dyDescent="0.25">
      <c r="B29" s="125"/>
      <c r="C29" s="124" t="s">
        <v>73</v>
      </c>
      <c r="D29" s="124"/>
      <c r="E29" s="125"/>
      <c r="F29" s="127">
        <f>1989078/1000</f>
        <v>1989.078</v>
      </c>
      <c r="G29" s="127">
        <f>2409516/1000</f>
        <v>2409.5160000000001</v>
      </c>
      <c r="H29" s="127">
        <f>3386035/1000</f>
        <v>3386.0349999999999</v>
      </c>
      <c r="I29" s="127">
        <f>3518539/1000</f>
        <v>3518.5390000000002</v>
      </c>
      <c r="J29" s="86"/>
      <c r="K29" s="86"/>
      <c r="L29" s="112"/>
      <c r="M29" s="127">
        <f t="shared" si="5"/>
        <v>1529.4610000000002</v>
      </c>
      <c r="N29" s="112"/>
      <c r="O29" s="218">
        <f t="shared" si="6"/>
        <v>76.892962468037979</v>
      </c>
      <c r="Q29" s="217"/>
      <c r="S29" s="215"/>
      <c r="T29" s="129"/>
    </row>
    <row r="30" spans="2:22" s="123" customFormat="1" x14ac:dyDescent="0.25">
      <c r="B30" s="125"/>
      <c r="C30" s="124" t="s">
        <v>74</v>
      </c>
      <c r="D30" s="124"/>
      <c r="E30" s="125"/>
      <c r="F30" s="127">
        <f>5780850/1000</f>
        <v>5780.85</v>
      </c>
      <c r="G30" s="127">
        <f>5875724/1000</f>
        <v>5875.7240000000002</v>
      </c>
      <c r="H30" s="127">
        <f>6715476/1000</f>
        <v>6715.4759999999997</v>
      </c>
      <c r="I30" s="127">
        <f>7041702/1000</f>
        <v>7041.7020000000002</v>
      </c>
      <c r="J30" s="86"/>
      <c r="K30" s="86"/>
      <c r="L30" s="112"/>
      <c r="M30" s="127">
        <f t="shared" si="5"/>
        <v>1260.8519999999999</v>
      </c>
      <c r="N30" s="112"/>
      <c r="O30" s="218">
        <f t="shared" si="6"/>
        <v>21.810840966293878</v>
      </c>
      <c r="Q30" s="217"/>
      <c r="S30" s="215"/>
      <c r="T30" s="129"/>
    </row>
    <row r="31" spans="2:22" ht="6" customHeight="1" thickBot="1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22" ht="5.25" customHeight="1" x14ac:dyDescent="0.25">
      <c r="F32" s="122"/>
      <c r="G32" s="122"/>
      <c r="H32" s="122"/>
    </row>
    <row r="33" spans="2:21" x14ac:dyDescent="0.25">
      <c r="B33" s="227" t="s">
        <v>94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</row>
    <row r="34" spans="2:21" x14ac:dyDescent="0.25">
      <c r="B34" s="228" t="s">
        <v>48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</row>
    <row r="35" spans="2:21" ht="60.75" customHeight="1" x14ac:dyDescent="0.25">
      <c r="B35" s="244" t="s">
        <v>110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</row>
    <row r="36" spans="2:21" ht="36" customHeight="1" x14ac:dyDescent="0.25">
      <c r="B36" s="243" t="s">
        <v>114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12"/>
      <c r="Q36" s="212"/>
      <c r="R36" s="212"/>
      <c r="S36" s="212"/>
      <c r="T36" s="212"/>
      <c r="U36" s="212"/>
    </row>
    <row r="37" spans="2:21" x14ac:dyDescent="0.25">
      <c r="B37" s="242" t="s">
        <v>78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</row>
    <row r="39" spans="2:21" x14ac:dyDescent="0.25">
      <c r="B39" s="90"/>
    </row>
    <row r="40" spans="2:21" ht="15" customHeight="1" x14ac:dyDescent="0.25"/>
  </sheetData>
  <mergeCells count="25">
    <mergeCell ref="B34:U34"/>
    <mergeCell ref="B37:U37"/>
    <mergeCell ref="B35:O35"/>
    <mergeCell ref="B36:O36"/>
    <mergeCell ref="F6:I7"/>
    <mergeCell ref="B14:D14"/>
    <mergeCell ref="C15:D15"/>
    <mergeCell ref="C16:D16"/>
    <mergeCell ref="C17:D17"/>
    <mergeCell ref="B33:U33"/>
    <mergeCell ref="C26:D26"/>
    <mergeCell ref="C27:D27"/>
    <mergeCell ref="C11:D11"/>
    <mergeCell ref="F2:O4"/>
    <mergeCell ref="C28:D28"/>
    <mergeCell ref="B6:D8"/>
    <mergeCell ref="B10:D10"/>
    <mergeCell ref="C24:D24"/>
    <mergeCell ref="C25:D25"/>
    <mergeCell ref="C18:D18"/>
    <mergeCell ref="C19:D19"/>
    <mergeCell ref="C20:D20"/>
    <mergeCell ref="B22:D22"/>
    <mergeCell ref="C23:D23"/>
    <mergeCell ref="C12:D12"/>
  </mergeCells>
  <hyperlinks>
    <hyperlink ref="B37" r:id="rId1"/>
  </hyperlinks>
  <pageMargins left="0.70866141732283472" right="0.70866141732283472" top="0.74803149606299213" bottom="0.74803149606299213" header="0.31496062992125984" footer="0.31496062992125984"/>
  <pageSetup scale="7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zoomScale="90" zoomScaleNormal="90" workbookViewId="0">
      <selection activeCell="N23" sqref="N23"/>
    </sheetView>
  </sheetViews>
  <sheetFormatPr baseColWidth="10" defaultRowHeight="15" x14ac:dyDescent="0.25"/>
  <cols>
    <col min="1" max="1" width="3.42578125" customWidth="1"/>
    <col min="2" max="2" width="3.42578125" style="129" customWidth="1"/>
    <col min="3" max="3" width="30.85546875" customWidth="1"/>
    <col min="4" max="4" width="15.85546875" style="64" customWidth="1"/>
    <col min="5" max="5" width="5.140625" customWidth="1"/>
    <col min="6" max="6" width="16.85546875" style="64" customWidth="1"/>
    <col min="7" max="7" width="3.85546875" customWidth="1"/>
    <col min="8" max="8" width="20.7109375" style="64" customWidth="1"/>
    <col min="9" max="9" width="1" customWidth="1"/>
    <col min="10" max="10" width="18.7109375" customWidth="1"/>
  </cols>
  <sheetData>
    <row r="1" spans="2:11" ht="24.75" customHeight="1" x14ac:dyDescent="0.25">
      <c r="C1" s="28"/>
      <c r="D1" s="163"/>
      <c r="E1" s="163"/>
      <c r="F1" s="163"/>
      <c r="G1" s="163"/>
      <c r="H1" s="163"/>
      <c r="I1" s="163"/>
      <c r="J1" s="163"/>
    </row>
    <row r="2" spans="2:11" ht="31.5" customHeight="1" x14ac:dyDescent="0.25">
      <c r="C2" s="27"/>
      <c r="D2" s="248" t="s">
        <v>115</v>
      </c>
      <c r="E2" s="248"/>
      <c r="F2" s="248"/>
      <c r="G2" s="248"/>
      <c r="H2" s="248"/>
      <c r="I2" s="248"/>
      <c r="J2" s="248"/>
    </row>
    <row r="3" spans="2:11" ht="15.75" customHeight="1" x14ac:dyDescent="0.25">
      <c r="C3" s="27"/>
      <c r="D3" s="248"/>
      <c r="E3" s="248"/>
      <c r="F3" s="248"/>
      <c r="G3" s="248"/>
      <c r="H3" s="248"/>
      <c r="I3" s="248"/>
      <c r="J3" s="248"/>
    </row>
    <row r="4" spans="2:11" ht="16.5" customHeight="1" thickBot="1" x14ac:dyDescent="0.3">
      <c r="B4" s="47"/>
      <c r="C4" s="35"/>
      <c r="D4" s="249"/>
      <c r="E4" s="249"/>
      <c r="F4" s="249"/>
      <c r="G4" s="249"/>
      <c r="H4" s="249"/>
      <c r="I4" s="249"/>
      <c r="J4" s="249"/>
    </row>
    <row r="5" spans="2:11" ht="41.25" customHeight="1" thickBot="1" x14ac:dyDescent="0.3">
      <c r="B5" s="250" t="s">
        <v>82</v>
      </c>
      <c r="C5" s="250"/>
      <c r="D5" s="33" t="s">
        <v>105</v>
      </c>
      <c r="E5" s="155"/>
      <c r="F5" s="33" t="s">
        <v>106</v>
      </c>
      <c r="G5" s="155"/>
      <c r="H5" s="33" t="s">
        <v>68</v>
      </c>
      <c r="I5" s="33"/>
      <c r="J5" s="33" t="s">
        <v>19</v>
      </c>
    </row>
    <row r="6" spans="2:11" x14ac:dyDescent="0.25">
      <c r="C6" s="36"/>
      <c r="D6" s="37"/>
      <c r="E6" s="38"/>
      <c r="F6" s="37"/>
      <c r="G6" s="38"/>
      <c r="H6" s="40"/>
      <c r="I6" s="41"/>
      <c r="J6" s="59"/>
    </row>
    <row r="7" spans="2:11" x14ac:dyDescent="0.25">
      <c r="B7" s="32" t="s">
        <v>2</v>
      </c>
      <c r="C7" s="32"/>
      <c r="D7" s="89">
        <v>7550262.1009999998</v>
      </c>
      <c r="E7" s="79"/>
      <c r="F7" s="89">
        <f>257715425/1000</f>
        <v>257715.42499999999</v>
      </c>
      <c r="G7" s="79"/>
      <c r="H7" s="80">
        <f>F7*100/D7</f>
        <v>3.4133308427248732</v>
      </c>
      <c r="I7" s="23"/>
      <c r="J7" s="81">
        <f>((F8+F31)*100)/F7</f>
        <v>100</v>
      </c>
    </row>
    <row r="8" spans="2:11" x14ac:dyDescent="0.25">
      <c r="B8" s="173" t="s">
        <v>20</v>
      </c>
      <c r="C8" s="173"/>
      <c r="D8" s="89">
        <f t="shared" ref="D8" si="0">SUM(D10:D29)</f>
        <v>2709814.0980000002</v>
      </c>
      <c r="E8" s="79"/>
      <c r="F8" s="119">
        <f t="shared" ref="F8" si="1">SUM(F10:F29)</f>
        <v>173637.72700000004</v>
      </c>
      <c r="G8" s="79"/>
      <c r="H8" s="80">
        <f>F8*100/D8</f>
        <v>6.4077357604772489</v>
      </c>
      <c r="I8" s="79"/>
      <c r="J8" s="80">
        <f>(F8*100)/F7</f>
        <v>67.375760298398916</v>
      </c>
    </row>
    <row r="9" spans="2:11" x14ac:dyDescent="0.25">
      <c r="B9" s="172"/>
      <c r="C9" s="42"/>
      <c r="D9" s="98"/>
      <c r="E9" s="30"/>
      <c r="F9" s="98"/>
      <c r="G9" s="30"/>
      <c r="H9" s="43"/>
      <c r="I9" s="30"/>
      <c r="J9" s="156"/>
    </row>
    <row r="10" spans="2:11" x14ac:dyDescent="0.25">
      <c r="B10" s="129">
        <v>1</v>
      </c>
      <c r="C10" s="31" t="s">
        <v>21</v>
      </c>
      <c r="D10" s="116">
        <v>324459</v>
      </c>
      <c r="E10" s="69"/>
      <c r="F10" s="116">
        <f>49776790/1000</f>
        <v>49776.79</v>
      </c>
      <c r="G10" s="70"/>
      <c r="H10" s="71">
        <v>15.341506621429625</v>
      </c>
      <c r="I10" s="73"/>
      <c r="J10" s="71">
        <f>(F10*100)/$F$7</f>
        <v>19.314633573058344</v>
      </c>
      <c r="K10" s="71"/>
    </row>
    <row r="11" spans="2:11" x14ac:dyDescent="0.25">
      <c r="B11" s="129">
        <v>2</v>
      </c>
      <c r="C11" s="31" t="s">
        <v>24</v>
      </c>
      <c r="D11" s="116">
        <f>32938</f>
        <v>32938</v>
      </c>
      <c r="E11" s="69"/>
      <c r="F11" s="116">
        <f>12185284/1000</f>
        <v>12185.284</v>
      </c>
      <c r="G11" s="70"/>
      <c r="H11" s="71">
        <v>36.994368820190701</v>
      </c>
      <c r="I11" s="75"/>
      <c r="J11" s="71">
        <f t="shared" ref="J11:J29" si="2">(F11*100)/$F$7</f>
        <v>4.7281935103418817</v>
      </c>
      <c r="K11" s="71"/>
    </row>
    <row r="12" spans="2:11" x14ac:dyDescent="0.25">
      <c r="B12" s="129">
        <v>3</v>
      </c>
      <c r="C12" s="31" t="s">
        <v>23</v>
      </c>
      <c r="D12" s="116">
        <f>82114</f>
        <v>82114</v>
      </c>
      <c r="E12" s="69"/>
      <c r="F12" s="116">
        <f>12165083/1000</f>
        <v>12165.083000000001</v>
      </c>
      <c r="G12" s="70"/>
      <c r="H12" s="71">
        <v>14.814830375794577</v>
      </c>
      <c r="I12" s="72"/>
      <c r="J12" s="71">
        <f t="shared" si="2"/>
        <v>4.720355019494856</v>
      </c>
      <c r="K12" s="74"/>
    </row>
    <row r="13" spans="2:11" x14ac:dyDescent="0.25">
      <c r="B13" s="129">
        <v>4</v>
      </c>
      <c r="C13" s="31" t="s">
        <v>22</v>
      </c>
      <c r="D13" s="116">
        <v>143990</v>
      </c>
      <c r="E13" s="70"/>
      <c r="F13" s="116">
        <f>11651509/1000</f>
        <v>11651.509</v>
      </c>
      <c r="G13" s="70"/>
      <c r="H13" s="71">
        <v>8.0919014557105235</v>
      </c>
      <c r="I13" s="75"/>
      <c r="J13" s="71">
        <f t="shared" si="2"/>
        <v>4.5210755235159086</v>
      </c>
      <c r="K13" s="71"/>
    </row>
    <row r="14" spans="2:11" ht="13.5" customHeight="1" x14ac:dyDescent="0.25">
      <c r="B14" s="129">
        <v>5</v>
      </c>
      <c r="C14" s="31" t="s">
        <v>64</v>
      </c>
      <c r="D14" s="116">
        <v>66182</v>
      </c>
      <c r="E14" s="70"/>
      <c r="F14" s="116">
        <f>8841717/1000</f>
        <v>8841.7170000000006</v>
      </c>
      <c r="G14" s="70"/>
      <c r="H14" s="71">
        <v>13.359784296492748</v>
      </c>
      <c r="I14" s="75"/>
      <c r="J14" s="71">
        <f t="shared" si="2"/>
        <v>3.4308062856540316</v>
      </c>
      <c r="K14" s="71"/>
    </row>
    <row r="15" spans="2:11" x14ac:dyDescent="0.25">
      <c r="B15" s="129">
        <v>6</v>
      </c>
      <c r="C15" s="31" t="s">
        <v>52</v>
      </c>
      <c r="D15" s="116">
        <v>9400</v>
      </c>
      <c r="E15" s="70"/>
      <c r="F15" s="116">
        <f>8312524/1000</f>
        <v>8312.5239999999994</v>
      </c>
      <c r="G15" s="70"/>
      <c r="H15" s="71">
        <v>88.429742307166535</v>
      </c>
      <c r="I15" s="75"/>
      <c r="J15" s="71">
        <f t="shared" si="2"/>
        <v>3.225466228884049</v>
      </c>
      <c r="K15" s="71"/>
    </row>
    <row r="16" spans="2:11" x14ac:dyDescent="0.25">
      <c r="B16" s="129">
        <v>7</v>
      </c>
      <c r="C16" s="31" t="s">
        <v>26</v>
      </c>
      <c r="D16" s="116">
        <v>64980</v>
      </c>
      <c r="E16" s="70"/>
      <c r="F16" s="116">
        <f>7902783/1000</f>
        <v>7902.7830000000004</v>
      </c>
      <c r="G16" s="70"/>
      <c r="H16" s="71">
        <v>12.161954404484316</v>
      </c>
      <c r="I16" s="75"/>
      <c r="J16" s="71">
        <f t="shared" si="2"/>
        <v>3.0664765215353333</v>
      </c>
      <c r="K16" s="71"/>
    </row>
    <row r="17" spans="2:11" x14ac:dyDescent="0.25">
      <c r="B17" s="129">
        <v>8</v>
      </c>
      <c r="C17" s="31" t="s">
        <v>25</v>
      </c>
      <c r="D17" s="116">
        <v>36624</v>
      </c>
      <c r="E17" s="69"/>
      <c r="F17" s="116">
        <f>7861226/1000</f>
        <v>7861.2259999999997</v>
      </c>
      <c r="G17" s="70"/>
      <c r="H17" s="71">
        <v>21.464567730204827</v>
      </c>
      <c r="I17" s="72"/>
      <c r="J17" s="71">
        <f t="shared" si="2"/>
        <v>3.050351371090807</v>
      </c>
      <c r="K17" s="71"/>
    </row>
    <row r="18" spans="2:11" x14ac:dyDescent="0.25">
      <c r="B18" s="129">
        <v>9</v>
      </c>
      <c r="C18" s="31" t="s">
        <v>30</v>
      </c>
      <c r="D18" s="116">
        <v>24451</v>
      </c>
      <c r="E18" s="70"/>
      <c r="F18" s="116">
        <f>7035560/1000</f>
        <v>7035.56</v>
      </c>
      <c r="G18" s="70"/>
      <c r="H18" s="71">
        <v>28.774636295666181</v>
      </c>
      <c r="I18" s="75"/>
      <c r="J18" s="71">
        <f t="shared" si="2"/>
        <v>2.7299724104601037</v>
      </c>
      <c r="K18" s="71"/>
    </row>
    <row r="19" spans="2:11" x14ac:dyDescent="0.25">
      <c r="B19" s="129">
        <v>10</v>
      </c>
      <c r="C19" s="31" t="s">
        <v>27</v>
      </c>
      <c r="D19" s="116">
        <v>46354</v>
      </c>
      <c r="E19" s="70"/>
      <c r="F19" s="116">
        <f>5947106/1000</f>
        <v>5947.1059999999998</v>
      </c>
      <c r="G19" s="70"/>
      <c r="H19" s="71">
        <v>12.829669104634281</v>
      </c>
      <c r="I19" s="75"/>
      <c r="J19" s="71">
        <f t="shared" si="2"/>
        <v>2.3076251644619252</v>
      </c>
      <c r="K19" s="71"/>
    </row>
    <row r="20" spans="2:11" x14ac:dyDescent="0.25">
      <c r="B20" s="129">
        <v>11</v>
      </c>
      <c r="C20" s="31" t="s">
        <v>31</v>
      </c>
      <c r="D20" s="116">
        <v>59360</v>
      </c>
      <c r="E20" s="70"/>
      <c r="F20" s="116">
        <f>5907461/1000</f>
        <v>5907.4610000000002</v>
      </c>
      <c r="G20" s="70"/>
      <c r="H20" s="71">
        <v>9.9519389352070995</v>
      </c>
      <c r="I20" s="75"/>
      <c r="J20" s="71">
        <f t="shared" si="2"/>
        <v>2.2922419176112565</v>
      </c>
      <c r="K20" s="71"/>
    </row>
    <row r="21" spans="2:11" x14ac:dyDescent="0.25">
      <c r="B21" s="129">
        <v>12</v>
      </c>
      <c r="C21" s="31" t="s">
        <v>28</v>
      </c>
      <c r="D21" s="116">
        <v>1339180.1270000001</v>
      </c>
      <c r="E21" s="70"/>
      <c r="F21" s="116">
        <f>5188550/1000</f>
        <v>5188.55</v>
      </c>
      <c r="G21" s="70"/>
      <c r="H21" s="71">
        <v>0.38744227870400583</v>
      </c>
      <c r="I21" s="75"/>
      <c r="J21" s="71">
        <f t="shared" si="2"/>
        <v>2.0132865543457479</v>
      </c>
      <c r="K21" s="71"/>
    </row>
    <row r="22" spans="2:11" x14ac:dyDescent="0.25">
      <c r="B22" s="129">
        <v>13</v>
      </c>
      <c r="C22" s="31" t="s">
        <v>29</v>
      </c>
      <c r="D22" s="116">
        <v>44222.947</v>
      </c>
      <c r="E22" s="70"/>
      <c r="F22" s="116">
        <f>4964293/1000</f>
        <v>4964.2929999999997</v>
      </c>
      <c r="G22" s="70"/>
      <c r="H22" s="71">
        <v>11.225604209506887</v>
      </c>
      <c r="I22" s="75"/>
      <c r="J22" s="71">
        <f t="shared" si="2"/>
        <v>1.926269256099048</v>
      </c>
      <c r="K22" s="71"/>
    </row>
    <row r="23" spans="2:11" x14ac:dyDescent="0.25">
      <c r="B23" s="129">
        <v>14</v>
      </c>
      <c r="C23" s="31" t="s">
        <v>54</v>
      </c>
      <c r="D23" s="116">
        <v>80745.02</v>
      </c>
      <c r="E23" s="70"/>
      <c r="F23" s="116">
        <f>4881966/1000</f>
        <v>4881.9660000000003</v>
      </c>
      <c r="G23" s="70"/>
      <c r="H23" s="71">
        <v>6.0461512053622624</v>
      </c>
      <c r="I23" s="75"/>
      <c r="J23" s="71">
        <f t="shared" si="2"/>
        <v>1.8943243308001454</v>
      </c>
      <c r="K23" s="71"/>
    </row>
    <row r="24" spans="2:11" x14ac:dyDescent="0.25">
      <c r="B24" s="129">
        <v>15</v>
      </c>
      <c r="C24" s="31" t="s">
        <v>116</v>
      </c>
      <c r="D24" s="116">
        <v>56717.156000000003</v>
      </c>
      <c r="E24" s="70"/>
      <c r="F24" s="116">
        <f>4036696/1000</f>
        <v>4036.6959999999999</v>
      </c>
      <c r="G24" s="70"/>
      <c r="H24" s="71">
        <v>7.11723979954143</v>
      </c>
      <c r="I24" s="75"/>
      <c r="J24" s="71">
        <f t="shared" si="2"/>
        <v>1.5663385301830497</v>
      </c>
      <c r="K24" s="71"/>
    </row>
    <row r="25" spans="2:11" x14ac:dyDescent="0.25">
      <c r="B25" s="129">
        <v>16</v>
      </c>
      <c r="C25" s="31" t="s">
        <v>62</v>
      </c>
      <c r="D25" s="116">
        <v>18204.499</v>
      </c>
      <c r="E25" s="70"/>
      <c r="F25" s="116">
        <f>3635168/1000</f>
        <v>3635.1680000000001</v>
      </c>
      <c r="G25" s="70"/>
      <c r="H25" s="71">
        <v>19.968514376583503</v>
      </c>
      <c r="I25" s="75"/>
      <c r="J25" s="71">
        <f t="shared" si="2"/>
        <v>1.4105356712738479</v>
      </c>
      <c r="K25" s="71"/>
    </row>
    <row r="26" spans="2:11" x14ac:dyDescent="0.25">
      <c r="B26" s="129">
        <v>17</v>
      </c>
      <c r="C26" s="31" t="s">
        <v>58</v>
      </c>
      <c r="D26" s="116">
        <v>69037.513000000006</v>
      </c>
      <c r="E26" s="70"/>
      <c r="F26" s="116">
        <f>3588873/1000</f>
        <v>3588.873</v>
      </c>
      <c r="G26" s="70"/>
      <c r="H26" s="71">
        <v>5.1984389993886362</v>
      </c>
      <c r="I26" s="75"/>
      <c r="J26" s="71">
        <f t="shared" si="2"/>
        <v>1.3925720588901498</v>
      </c>
      <c r="K26" s="71"/>
    </row>
    <row r="27" spans="2:11" x14ac:dyDescent="0.25">
      <c r="B27" s="129">
        <v>18</v>
      </c>
      <c r="C27" s="31" t="s">
        <v>32</v>
      </c>
      <c r="D27" s="116">
        <v>197015.95499999999</v>
      </c>
      <c r="E27" s="70"/>
      <c r="F27" s="116">
        <f>3398154/1000</f>
        <v>3398.154</v>
      </c>
      <c r="G27" s="70"/>
      <c r="H27" s="71">
        <v>1.7248115768085892</v>
      </c>
      <c r="I27" s="75"/>
      <c r="J27" s="71">
        <f t="shared" si="2"/>
        <v>1.318568339477546</v>
      </c>
      <c r="K27" s="71"/>
    </row>
    <row r="28" spans="2:11" x14ac:dyDescent="0.25">
      <c r="B28" s="129">
        <v>19</v>
      </c>
      <c r="C28" s="31" t="s">
        <v>33</v>
      </c>
      <c r="D28" s="116">
        <v>9702.3529999999992</v>
      </c>
      <c r="E28" s="70"/>
      <c r="F28" s="116">
        <f>3233553/1000</f>
        <v>3233.5529999999999</v>
      </c>
      <c r="G28" s="70"/>
      <c r="H28" s="71">
        <v>33.327513439265715</v>
      </c>
      <c r="I28" s="75"/>
      <c r="J28" s="71">
        <f t="shared" si="2"/>
        <v>1.2546990541990259</v>
      </c>
      <c r="K28" s="71"/>
    </row>
    <row r="29" spans="2:11" x14ac:dyDescent="0.25">
      <c r="B29" s="129">
        <v>20</v>
      </c>
      <c r="C29" s="31" t="s">
        <v>117</v>
      </c>
      <c r="D29" s="116">
        <v>4136.5280000000002</v>
      </c>
      <c r="E29" s="70"/>
      <c r="F29" s="116">
        <f>3123431/1000</f>
        <v>3123.431</v>
      </c>
      <c r="G29" s="70"/>
      <c r="H29" s="71">
        <v>75.508518254922961</v>
      </c>
      <c r="I29" s="75"/>
      <c r="J29" s="71">
        <f t="shared" si="2"/>
        <v>1.2119689770218449</v>
      </c>
      <c r="K29" s="71"/>
    </row>
    <row r="30" spans="2:11" ht="6.75" customHeight="1" x14ac:dyDescent="0.25">
      <c r="C30" s="31"/>
      <c r="D30" s="116"/>
      <c r="E30" s="70"/>
      <c r="F30" s="120"/>
      <c r="G30" s="70"/>
      <c r="H30" s="74"/>
      <c r="I30" s="75"/>
      <c r="J30" s="71"/>
      <c r="K30" s="74"/>
    </row>
    <row r="31" spans="2:11" ht="15.75" thickBot="1" x14ac:dyDescent="0.3">
      <c r="B31" s="47"/>
      <c r="C31" s="29" t="s">
        <v>34</v>
      </c>
      <c r="D31" s="121">
        <f t="shared" ref="D31" si="3">D7-D8</f>
        <v>4840448.0029999996</v>
      </c>
      <c r="E31" s="76"/>
      <c r="F31" s="121">
        <f>F7-F8</f>
        <v>84077.697999999946</v>
      </c>
      <c r="G31" s="76"/>
      <c r="H31" s="77">
        <f>F31*100/D31</f>
        <v>1.7369817411093045</v>
      </c>
      <c r="I31" s="78"/>
      <c r="J31" s="77">
        <f>(F31*100)/F7</f>
        <v>32.624239701601077</v>
      </c>
      <c r="K31" s="129"/>
    </row>
    <row r="32" spans="2:11" ht="5.25" customHeight="1" x14ac:dyDescent="0.25">
      <c r="C32" s="59"/>
      <c r="D32" s="60"/>
      <c r="E32" s="59"/>
      <c r="F32" s="99"/>
      <c r="G32" s="59"/>
      <c r="H32" s="60"/>
      <c r="I32" s="61"/>
      <c r="J32" s="59"/>
    </row>
    <row r="33" spans="3:11" s="28" customFormat="1" ht="16.5" customHeight="1" x14ac:dyDescent="0.25">
      <c r="C33" s="245" t="s">
        <v>65</v>
      </c>
      <c r="D33" s="245"/>
      <c r="E33" s="245"/>
      <c r="F33" s="245"/>
      <c r="G33" s="245"/>
      <c r="H33" s="245"/>
      <c r="I33" s="245"/>
      <c r="J33" s="245"/>
      <c r="K33" s="130"/>
    </row>
    <row r="34" spans="3:11" ht="29.25" customHeight="1" x14ac:dyDescent="0.25">
      <c r="C34" s="247" t="s">
        <v>118</v>
      </c>
      <c r="D34" s="247"/>
      <c r="E34" s="247"/>
      <c r="F34" s="247"/>
      <c r="G34" s="247"/>
      <c r="H34" s="247"/>
      <c r="I34" s="247"/>
      <c r="J34" s="247"/>
      <c r="K34" s="130"/>
    </row>
    <row r="35" spans="3:11" x14ac:dyDescent="0.25">
      <c r="C35" s="245" t="s">
        <v>78</v>
      </c>
      <c r="D35" s="245"/>
      <c r="E35" s="245"/>
      <c r="F35" s="245"/>
      <c r="G35" s="245"/>
      <c r="H35" s="245"/>
      <c r="I35" s="245"/>
      <c r="J35" s="245"/>
      <c r="K35" s="130"/>
    </row>
    <row r="36" spans="3:11" ht="15" customHeight="1" x14ac:dyDescent="0.25">
      <c r="C36" s="246"/>
      <c r="D36" s="246"/>
      <c r="E36" s="246"/>
      <c r="F36" s="246"/>
      <c r="G36" s="246"/>
      <c r="H36" s="246"/>
      <c r="I36" s="246"/>
      <c r="J36" s="59"/>
    </row>
    <row r="39" spans="3:11" x14ac:dyDescent="0.25">
      <c r="F39" s="85">
        <v>1000</v>
      </c>
    </row>
  </sheetData>
  <mergeCells count="6">
    <mergeCell ref="C35:J35"/>
    <mergeCell ref="C36:I36"/>
    <mergeCell ref="C33:J33"/>
    <mergeCell ref="C34:J34"/>
    <mergeCell ref="D2:J4"/>
    <mergeCell ref="B5:C5"/>
  </mergeCells>
  <hyperlinks>
    <hyperlink ref="C35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zoomScale="90" zoomScaleNormal="90" workbookViewId="0">
      <selection activeCell="L29" sqref="L29"/>
    </sheetView>
  </sheetViews>
  <sheetFormatPr baseColWidth="10" defaultRowHeight="15" x14ac:dyDescent="0.25"/>
  <cols>
    <col min="1" max="1" width="3.42578125" style="126" customWidth="1"/>
    <col min="2" max="2" width="3.42578125" style="129" customWidth="1"/>
    <col min="3" max="3" width="28.85546875" style="126" customWidth="1"/>
    <col min="4" max="4" width="19.5703125" style="126" customWidth="1"/>
    <col min="5" max="5" width="3.28515625" style="126" customWidth="1"/>
    <col min="6" max="6" width="19.7109375" style="126" customWidth="1"/>
    <col min="7" max="7" width="3.42578125" style="129" customWidth="1"/>
    <col min="8" max="8" width="19.5703125" style="126" customWidth="1"/>
    <col min="9" max="9" width="2.28515625" style="126" customWidth="1"/>
    <col min="10" max="10" width="16.42578125" style="126" customWidth="1"/>
    <col min="11" max="16384" width="11.42578125" style="126"/>
  </cols>
  <sheetData>
    <row r="1" spans="1:10" ht="14.25" customHeight="1" x14ac:dyDescent="0.25">
      <c r="A1" s="131"/>
      <c r="B1" s="131"/>
      <c r="C1" s="128"/>
      <c r="D1" s="163"/>
      <c r="E1" s="163"/>
      <c r="F1" s="163"/>
      <c r="G1" s="163"/>
      <c r="H1" s="163"/>
      <c r="I1" s="163"/>
      <c r="J1" s="163"/>
    </row>
    <row r="2" spans="1:10" ht="31.5" customHeight="1" x14ac:dyDescent="0.25">
      <c r="A2" s="131"/>
      <c r="B2" s="131"/>
      <c r="C2" s="117"/>
      <c r="D2" s="248" t="s">
        <v>120</v>
      </c>
      <c r="E2" s="248"/>
      <c r="F2" s="248"/>
      <c r="G2" s="248"/>
      <c r="H2" s="248"/>
      <c r="I2" s="248"/>
      <c r="J2" s="248"/>
    </row>
    <row r="3" spans="1:10" ht="15.75" customHeight="1" x14ac:dyDescent="0.25">
      <c r="A3" s="131"/>
      <c r="B3" s="131"/>
      <c r="C3" s="117"/>
      <c r="D3" s="248"/>
      <c r="E3" s="248"/>
      <c r="F3" s="248"/>
      <c r="G3" s="248"/>
      <c r="H3" s="248"/>
      <c r="I3" s="248"/>
      <c r="J3" s="248"/>
    </row>
    <row r="4" spans="1:10" ht="16.5" customHeight="1" thickBot="1" x14ac:dyDescent="0.3">
      <c r="A4" s="131"/>
      <c r="B4" s="174"/>
      <c r="C4" s="118"/>
      <c r="D4" s="249"/>
      <c r="E4" s="249"/>
      <c r="F4" s="249"/>
      <c r="G4" s="249"/>
      <c r="H4" s="249"/>
      <c r="I4" s="249"/>
      <c r="J4" s="249"/>
    </row>
    <row r="5" spans="1:10" s="129" customFormat="1" ht="47.25" customHeight="1" thickBot="1" x14ac:dyDescent="0.3">
      <c r="B5" s="251" t="s">
        <v>83</v>
      </c>
      <c r="C5" s="251"/>
      <c r="D5" s="33" t="s">
        <v>67</v>
      </c>
      <c r="E5" s="157"/>
      <c r="F5" s="33" t="s">
        <v>100</v>
      </c>
      <c r="G5" s="157"/>
      <c r="H5" s="33" t="s">
        <v>101</v>
      </c>
      <c r="I5" s="34"/>
      <c r="J5" s="33" t="s">
        <v>102</v>
      </c>
    </row>
    <row r="6" spans="1:10" x14ac:dyDescent="0.25">
      <c r="A6" s="131"/>
      <c r="B6" s="131"/>
      <c r="C6" s="36"/>
      <c r="D6" s="37"/>
      <c r="E6" s="133"/>
      <c r="F6" s="37"/>
      <c r="G6" s="133"/>
      <c r="H6" s="134"/>
      <c r="I6" s="41"/>
      <c r="J6" s="135"/>
    </row>
    <row r="7" spans="1:10" ht="21" customHeight="1" x14ac:dyDescent="0.25">
      <c r="A7" s="131"/>
      <c r="B7" s="252" t="s">
        <v>2</v>
      </c>
      <c r="C7" s="252"/>
      <c r="D7" s="136">
        <v>7550262.1009999998</v>
      </c>
      <c r="E7" s="137"/>
      <c r="F7" s="136">
        <f>257715425/1000</f>
        <v>257715.42499999999</v>
      </c>
      <c r="G7" s="137"/>
      <c r="H7" s="138">
        <f>F7*100/D7</f>
        <v>3.4133308427248732</v>
      </c>
      <c r="I7" s="139"/>
      <c r="J7" s="140">
        <f>(F31+F8)*100/F7</f>
        <v>100</v>
      </c>
    </row>
    <row r="8" spans="1:10" ht="21.75" customHeight="1" x14ac:dyDescent="0.25">
      <c r="A8" s="131"/>
      <c r="B8" s="253" t="s">
        <v>20</v>
      </c>
      <c r="C8" s="253"/>
      <c r="D8" s="141">
        <f t="shared" ref="D8" si="0">SUM(D10:D29)</f>
        <v>4317397</v>
      </c>
      <c r="E8" s="137"/>
      <c r="F8" s="141">
        <f t="shared" ref="F8" si="1">SUM(F10:F29)</f>
        <v>126325.18199999999</v>
      </c>
      <c r="G8" s="137"/>
      <c r="H8" s="138">
        <f>F8*100/D8</f>
        <v>2.9259570523628007</v>
      </c>
      <c r="I8" s="137"/>
      <c r="J8" s="138">
        <f>(F8*100/F7)</f>
        <v>49.017315125782631</v>
      </c>
    </row>
    <row r="9" spans="1:10" x14ac:dyDescent="0.25">
      <c r="A9" s="131"/>
      <c r="B9" s="131"/>
      <c r="C9" s="142"/>
      <c r="D9" s="143"/>
      <c r="E9" s="144"/>
      <c r="F9" s="98"/>
      <c r="G9" s="144"/>
      <c r="H9" s="145"/>
      <c r="I9" s="144"/>
      <c r="J9" s="158"/>
    </row>
    <row r="10" spans="1:10" s="129" customFormat="1" x14ac:dyDescent="0.25">
      <c r="C10" s="31" t="s">
        <v>28</v>
      </c>
      <c r="D10" s="116">
        <v>1339180</v>
      </c>
      <c r="E10" s="69"/>
      <c r="F10" s="116">
        <f>16587720/1000</f>
        <v>16587.72</v>
      </c>
      <c r="G10" s="70"/>
      <c r="H10" s="71">
        <f>F10*100/D10</f>
        <v>1.2386475305784137</v>
      </c>
      <c r="I10" s="73"/>
      <c r="J10" s="71">
        <f>(F10*100)/$F$7</f>
        <v>6.436448264592622</v>
      </c>
    </row>
    <row r="11" spans="1:10" s="129" customFormat="1" x14ac:dyDescent="0.25">
      <c r="C11" s="31" t="s">
        <v>50</v>
      </c>
      <c r="D11" s="116">
        <v>129163</v>
      </c>
      <c r="E11" s="69"/>
      <c r="F11" s="116">
        <f>12964882/1000</f>
        <v>12964.882</v>
      </c>
      <c r="G11" s="70"/>
      <c r="H11" s="71">
        <f t="shared" ref="H11:H31" si="2">F11*100/D11</f>
        <v>10.037612938689872</v>
      </c>
      <c r="I11" s="73"/>
      <c r="J11" s="71">
        <f t="shared" ref="J11:J31" si="3">(F11*100)/$F$7</f>
        <v>5.0306969402394133</v>
      </c>
    </row>
    <row r="12" spans="1:10" s="129" customFormat="1" x14ac:dyDescent="0.25">
      <c r="C12" s="31" t="s">
        <v>22</v>
      </c>
      <c r="D12" s="116">
        <v>143990</v>
      </c>
      <c r="E12" s="69"/>
      <c r="F12" s="116">
        <f>10635994/1000</f>
        <v>10635.994000000001</v>
      </c>
      <c r="G12" s="70"/>
      <c r="H12" s="71">
        <f t="shared" si="2"/>
        <v>7.3866199041600122</v>
      </c>
      <c r="I12" s="73"/>
      <c r="J12" s="71">
        <f t="shared" si="3"/>
        <v>4.1270304251288028</v>
      </c>
    </row>
    <row r="13" spans="1:10" s="129" customFormat="1" x14ac:dyDescent="0.25">
      <c r="C13" s="31" t="s">
        <v>61</v>
      </c>
      <c r="D13" s="116">
        <v>1409517</v>
      </c>
      <c r="E13" s="69"/>
      <c r="F13" s="116">
        <f>9962058/1000</f>
        <v>9962.0580000000009</v>
      </c>
      <c r="G13" s="70"/>
      <c r="H13" s="71">
        <f t="shared" si="2"/>
        <v>0.7067710428465922</v>
      </c>
      <c r="I13" s="73"/>
      <c r="J13" s="71">
        <f t="shared" si="3"/>
        <v>3.865526481389308</v>
      </c>
    </row>
    <row r="14" spans="1:10" s="129" customFormat="1" x14ac:dyDescent="0.25">
      <c r="C14" s="31" t="s">
        <v>51</v>
      </c>
      <c r="D14" s="116">
        <v>164670</v>
      </c>
      <c r="E14" s="69"/>
      <c r="F14" s="116">
        <f>7499919/1000</f>
        <v>7499.9189999999999</v>
      </c>
      <c r="G14" s="70"/>
      <c r="H14" s="71">
        <f t="shared" si="2"/>
        <v>4.55451448351248</v>
      </c>
      <c r="I14" s="73"/>
      <c r="J14" s="71">
        <f t="shared" si="3"/>
        <v>2.9101552613701722</v>
      </c>
    </row>
    <row r="15" spans="1:10" s="129" customFormat="1" x14ac:dyDescent="0.25">
      <c r="C15" s="31" t="s">
        <v>63</v>
      </c>
      <c r="D15" s="116">
        <v>18270</v>
      </c>
      <c r="E15" s="69"/>
      <c r="F15" s="116">
        <f>6864445/1000</f>
        <v>6864.4449999999997</v>
      </c>
      <c r="G15" s="70"/>
      <c r="H15" s="71">
        <f t="shared" si="2"/>
        <v>37.572222222222223</v>
      </c>
      <c r="I15" s="73"/>
      <c r="J15" s="71">
        <f t="shared" si="3"/>
        <v>2.6635755310338913</v>
      </c>
    </row>
    <row r="16" spans="1:10" s="129" customFormat="1" x14ac:dyDescent="0.25">
      <c r="C16" s="31" t="s">
        <v>32</v>
      </c>
      <c r="D16" s="116">
        <v>197016</v>
      </c>
      <c r="E16" s="69"/>
      <c r="F16" s="116">
        <f>5978635/1000</f>
        <v>5978.6350000000002</v>
      </c>
      <c r="G16" s="70"/>
      <c r="H16" s="71">
        <f t="shared" si="2"/>
        <v>3.0345936370650097</v>
      </c>
      <c r="I16" s="73"/>
      <c r="J16" s="71">
        <f t="shared" si="3"/>
        <v>2.3198592012876218</v>
      </c>
    </row>
    <row r="17" spans="1:10" s="129" customFormat="1" x14ac:dyDescent="0.25">
      <c r="C17" s="31" t="s">
        <v>29</v>
      </c>
      <c r="D17" s="116">
        <v>44223</v>
      </c>
      <c r="E17" s="69"/>
      <c r="F17" s="116">
        <f>5941653/1000</f>
        <v>5941.6530000000002</v>
      </c>
      <c r="G17" s="70"/>
      <c r="H17" s="71">
        <f t="shared" si="2"/>
        <v>13.435662438097824</v>
      </c>
      <c r="I17" s="73"/>
      <c r="J17" s="71">
        <f t="shared" si="3"/>
        <v>2.3055092647248419</v>
      </c>
    </row>
    <row r="18" spans="1:10" s="129" customFormat="1" x14ac:dyDescent="0.25">
      <c r="C18" s="31" t="s">
        <v>53</v>
      </c>
      <c r="D18" s="116">
        <v>104918</v>
      </c>
      <c r="E18" s="69"/>
      <c r="F18" s="116">
        <f>5680682/1000</f>
        <v>5680.6819999999998</v>
      </c>
      <c r="G18" s="70"/>
      <c r="H18" s="71">
        <f t="shared" si="2"/>
        <v>5.4144017232505384</v>
      </c>
      <c r="I18" s="73"/>
      <c r="J18" s="71">
        <f t="shared" si="3"/>
        <v>2.2042460205864667</v>
      </c>
    </row>
    <row r="19" spans="1:10" s="129" customFormat="1" x14ac:dyDescent="0.25">
      <c r="C19" s="31" t="s">
        <v>64</v>
      </c>
      <c r="D19" s="116">
        <v>66182</v>
      </c>
      <c r="E19" s="69"/>
      <c r="F19" s="116">
        <f>4921309/1000</f>
        <v>4921.3090000000002</v>
      </c>
      <c r="G19" s="70"/>
      <c r="H19" s="71">
        <f t="shared" si="2"/>
        <v>7.4360233900456318</v>
      </c>
      <c r="I19" s="73"/>
      <c r="J19" s="71">
        <f t="shared" si="3"/>
        <v>1.9095903941333743</v>
      </c>
    </row>
    <row r="20" spans="1:10" s="129" customFormat="1" x14ac:dyDescent="0.25">
      <c r="C20" s="31" t="s">
        <v>49</v>
      </c>
      <c r="D20" s="116">
        <v>35530</v>
      </c>
      <c r="E20" s="69"/>
      <c r="F20" s="116">
        <f>4826464/1000</f>
        <v>4826.4639999999999</v>
      </c>
      <c r="G20" s="70"/>
      <c r="H20" s="71">
        <f t="shared" si="2"/>
        <v>13.58419363917816</v>
      </c>
      <c r="I20" s="73"/>
      <c r="J20" s="71">
        <f t="shared" si="3"/>
        <v>1.8727881732341014</v>
      </c>
    </row>
    <row r="21" spans="1:10" s="129" customFormat="1" x14ac:dyDescent="0.25">
      <c r="C21" s="31" t="s">
        <v>55</v>
      </c>
      <c r="D21" s="116">
        <v>38171</v>
      </c>
      <c r="E21" s="69"/>
      <c r="F21" s="116">
        <f>4701465/1000</f>
        <v>4701.4650000000001</v>
      </c>
      <c r="G21" s="70"/>
      <c r="H21" s="71">
        <f t="shared" si="2"/>
        <v>12.316850488590815</v>
      </c>
      <c r="I21" s="73"/>
      <c r="J21" s="71">
        <f t="shared" si="3"/>
        <v>1.824285449735886</v>
      </c>
    </row>
    <row r="22" spans="1:10" s="129" customFormat="1" x14ac:dyDescent="0.25">
      <c r="C22" s="31" t="s">
        <v>60</v>
      </c>
      <c r="D22" s="116">
        <v>263991</v>
      </c>
      <c r="E22" s="69"/>
      <c r="F22" s="116">
        <f>4233973/1000</f>
        <v>4233.973</v>
      </c>
      <c r="G22" s="70"/>
      <c r="H22" s="71">
        <f t="shared" si="2"/>
        <v>1.6038323276172293</v>
      </c>
      <c r="I22" s="73"/>
      <c r="J22" s="71">
        <f t="shared" si="3"/>
        <v>1.6428869168386022</v>
      </c>
    </row>
    <row r="23" spans="1:10" s="129" customFormat="1" x14ac:dyDescent="0.25">
      <c r="C23" s="31" t="s">
        <v>23</v>
      </c>
      <c r="D23" s="116">
        <v>82114</v>
      </c>
      <c r="E23" s="69"/>
      <c r="F23" s="116">
        <f>4208083/1000</f>
        <v>4208.0829999999996</v>
      </c>
      <c r="G23" s="70"/>
      <c r="H23" s="71">
        <f t="shared" si="2"/>
        <v>5.124683975935894</v>
      </c>
      <c r="I23" s="73"/>
      <c r="J23" s="71">
        <f t="shared" si="3"/>
        <v>1.6328409523799361</v>
      </c>
    </row>
    <row r="24" spans="1:10" s="129" customFormat="1" x14ac:dyDescent="0.25">
      <c r="C24" s="31" t="s">
        <v>62</v>
      </c>
      <c r="D24" s="116">
        <v>18204</v>
      </c>
      <c r="E24" s="69"/>
      <c r="F24" s="116">
        <f>4074446/1000</f>
        <v>4074.4459999999999</v>
      </c>
      <c r="G24" s="70"/>
      <c r="H24" s="71">
        <f t="shared" si="2"/>
        <v>22.382146780927268</v>
      </c>
      <c r="I24" s="73"/>
      <c r="J24" s="71">
        <f t="shared" si="3"/>
        <v>1.5809864698630283</v>
      </c>
    </row>
    <row r="25" spans="1:10" s="129" customFormat="1" x14ac:dyDescent="0.25">
      <c r="C25" s="31" t="s">
        <v>57</v>
      </c>
      <c r="D25" s="116">
        <v>4921</v>
      </c>
      <c r="E25" s="69"/>
      <c r="F25" s="116">
        <f>3803893/1000</f>
        <v>3803.893</v>
      </c>
      <c r="G25" s="70"/>
      <c r="H25" s="71">
        <f t="shared" si="2"/>
        <v>77.299187157081889</v>
      </c>
      <c r="I25" s="73"/>
      <c r="J25" s="71">
        <f t="shared" si="3"/>
        <v>1.4760051712077382</v>
      </c>
    </row>
    <row r="26" spans="1:10" s="129" customFormat="1" x14ac:dyDescent="0.25">
      <c r="C26" s="31" t="s">
        <v>59</v>
      </c>
      <c r="D26" s="116">
        <v>19679</v>
      </c>
      <c r="E26" s="69"/>
      <c r="F26" s="116">
        <f>3578504/1000</f>
        <v>3578.5039999999999</v>
      </c>
      <c r="G26" s="70"/>
      <c r="H26" s="71">
        <f t="shared" si="2"/>
        <v>18.184379287565424</v>
      </c>
      <c r="I26" s="73"/>
      <c r="J26" s="71">
        <f t="shared" si="3"/>
        <v>1.388548628783085</v>
      </c>
    </row>
    <row r="27" spans="1:10" s="129" customFormat="1" x14ac:dyDescent="0.25">
      <c r="C27" s="31" t="s">
        <v>54</v>
      </c>
      <c r="D27" s="116">
        <v>80745</v>
      </c>
      <c r="E27" s="69"/>
      <c r="F27" s="116">
        <f>3418932/1000</f>
        <v>3418.9319999999998</v>
      </c>
      <c r="G27" s="70"/>
      <c r="H27" s="71">
        <f t="shared" si="2"/>
        <v>4.2342336986810327</v>
      </c>
      <c r="I27" s="73"/>
      <c r="J27" s="71">
        <f t="shared" si="3"/>
        <v>1.3266307206873627</v>
      </c>
    </row>
    <row r="28" spans="1:10" s="129" customFormat="1" x14ac:dyDescent="0.25">
      <c r="C28" s="31" t="s">
        <v>56</v>
      </c>
      <c r="D28" s="116">
        <v>97553</v>
      </c>
      <c r="E28" s="69"/>
      <c r="F28" s="116">
        <f>3412957/1000</f>
        <v>3412.9569999999999</v>
      </c>
      <c r="G28" s="70"/>
      <c r="H28" s="71">
        <f t="shared" si="2"/>
        <v>3.4985669328467601</v>
      </c>
      <c r="I28" s="73"/>
      <c r="J28" s="71">
        <f t="shared" si="3"/>
        <v>1.3243122719565583</v>
      </c>
    </row>
    <row r="29" spans="1:10" s="129" customFormat="1" x14ac:dyDescent="0.25">
      <c r="C29" s="31" t="s">
        <v>31</v>
      </c>
      <c r="D29" s="116">
        <v>59360</v>
      </c>
      <c r="E29" s="69"/>
      <c r="F29" s="116">
        <f>3029168/1000</f>
        <v>3029.1680000000001</v>
      </c>
      <c r="G29" s="70"/>
      <c r="H29" s="71">
        <f t="shared" si="2"/>
        <v>5.103045822102426</v>
      </c>
      <c r="I29" s="73"/>
      <c r="J29" s="71">
        <f t="shared" si="3"/>
        <v>1.1753925866098236</v>
      </c>
    </row>
    <row r="30" spans="1:10" s="129" customFormat="1" x14ac:dyDescent="0.25">
      <c r="C30" s="31"/>
      <c r="D30" s="116"/>
      <c r="E30" s="69"/>
      <c r="F30" s="116"/>
      <c r="G30" s="70"/>
      <c r="H30" s="71"/>
      <c r="I30" s="73"/>
      <c r="J30" s="71"/>
    </row>
    <row r="31" spans="1:10" ht="12.75" customHeight="1" thickBot="1" x14ac:dyDescent="0.3">
      <c r="A31" s="131"/>
      <c r="B31" s="131"/>
      <c r="C31" s="146" t="s">
        <v>34</v>
      </c>
      <c r="D31" s="147">
        <f t="shared" ref="D31" si="4">D7-D8</f>
        <v>3232865.1009999998</v>
      </c>
      <c r="E31" s="148"/>
      <c r="F31" s="149">
        <f t="shared" ref="F31" si="5">F7-F8</f>
        <v>131390.24300000002</v>
      </c>
      <c r="G31" s="148"/>
      <c r="H31" s="151">
        <f t="shared" si="2"/>
        <v>4.0642043170733588</v>
      </c>
      <c r="I31" s="150"/>
      <c r="J31" s="151">
        <f t="shared" si="3"/>
        <v>50.982684874217369</v>
      </c>
    </row>
    <row r="32" spans="1:10" ht="3" customHeight="1" x14ac:dyDescent="0.25">
      <c r="C32" s="59"/>
      <c r="D32" s="60"/>
      <c r="E32" s="59"/>
      <c r="F32" s="99"/>
      <c r="G32" s="59"/>
      <c r="H32" s="60"/>
      <c r="I32" s="61"/>
      <c r="J32" s="71"/>
    </row>
    <row r="33" spans="3:10" ht="16.5" customHeight="1" x14ac:dyDescent="0.25">
      <c r="C33" s="245" t="s">
        <v>66</v>
      </c>
      <c r="D33" s="245"/>
      <c r="E33" s="245"/>
      <c r="F33" s="245"/>
      <c r="G33" s="245"/>
      <c r="H33" s="245"/>
      <c r="I33" s="245"/>
      <c r="J33" s="245"/>
    </row>
    <row r="34" spans="3:10" s="129" customFormat="1" ht="30.75" customHeight="1" x14ac:dyDescent="0.25">
      <c r="C34" s="247" t="s">
        <v>118</v>
      </c>
      <c r="D34" s="247"/>
      <c r="E34" s="247"/>
      <c r="F34" s="247"/>
      <c r="G34" s="247"/>
      <c r="H34" s="247"/>
      <c r="I34" s="247"/>
      <c r="J34" s="247"/>
    </row>
    <row r="35" spans="3:10" s="129" customFormat="1" x14ac:dyDescent="0.25">
      <c r="C35" s="245" t="s">
        <v>78</v>
      </c>
      <c r="D35" s="245"/>
      <c r="E35" s="245"/>
      <c r="F35" s="245"/>
      <c r="G35" s="245"/>
      <c r="H35" s="245"/>
      <c r="I35" s="245"/>
      <c r="J35" s="245"/>
    </row>
    <row r="38" spans="3:10" x14ac:dyDescent="0.25">
      <c r="F38" s="85">
        <v>1000</v>
      </c>
    </row>
  </sheetData>
  <mergeCells count="7">
    <mergeCell ref="C33:J33"/>
    <mergeCell ref="C34:J34"/>
    <mergeCell ref="C35:J35"/>
    <mergeCell ref="D2:J4"/>
    <mergeCell ref="B5:C5"/>
    <mergeCell ref="B7:C7"/>
    <mergeCell ref="B8:C8"/>
  </mergeCells>
  <hyperlinks>
    <hyperlink ref="C35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opLeftCell="A34" zoomScale="90" zoomScaleNormal="90" workbookViewId="0">
      <selection activeCell="Q47" sqref="Q47"/>
    </sheetView>
  </sheetViews>
  <sheetFormatPr baseColWidth="10" defaultRowHeight="15" x14ac:dyDescent="0.25"/>
  <cols>
    <col min="1" max="1" width="3.85546875" customWidth="1"/>
    <col min="2" max="2" width="21.42578125" customWidth="1"/>
    <col min="3" max="3" width="3.28515625" style="4" customWidth="1"/>
    <col min="4" max="4" width="15.7109375" style="4" customWidth="1"/>
    <col min="5" max="5" width="3.140625" style="4" customWidth="1"/>
    <col min="6" max="6" width="15.7109375" customWidth="1"/>
    <col min="7" max="7" width="3.28515625" customWidth="1"/>
    <col min="8" max="8" width="15.7109375" customWidth="1"/>
    <col min="9" max="9" width="4.140625" style="4" customWidth="1"/>
    <col min="10" max="10" width="15.7109375" customWidth="1"/>
  </cols>
  <sheetData>
    <row r="1" spans="1:14" ht="12.75" customHeight="1" x14ac:dyDescent="0.25">
      <c r="B1" s="28"/>
      <c r="C1" s="28"/>
      <c r="D1" s="162"/>
      <c r="E1" s="162"/>
      <c r="F1" s="162"/>
      <c r="G1" s="162"/>
      <c r="H1" s="162"/>
      <c r="I1" s="162"/>
      <c r="J1" s="162"/>
    </row>
    <row r="2" spans="1:14" ht="28.5" customHeight="1" x14ac:dyDescent="0.25">
      <c r="B2" s="28"/>
      <c r="C2" s="28"/>
      <c r="D2" s="236" t="s">
        <v>121</v>
      </c>
      <c r="E2" s="236"/>
      <c r="F2" s="236"/>
      <c r="G2" s="236"/>
      <c r="H2" s="236"/>
      <c r="I2" s="236"/>
      <c r="J2" s="236"/>
    </row>
    <row r="3" spans="1:14" ht="45.75" customHeight="1" thickBot="1" x14ac:dyDescent="0.3">
      <c r="B3" s="47"/>
      <c r="C3" s="47"/>
      <c r="D3" s="230"/>
      <c r="E3" s="230"/>
      <c r="F3" s="230"/>
      <c r="G3" s="230"/>
      <c r="H3" s="230"/>
      <c r="I3" s="230"/>
      <c r="J3" s="230"/>
    </row>
    <row r="4" spans="1:14" s="64" customFormat="1" ht="21.75" customHeight="1" x14ac:dyDescent="0.25">
      <c r="B4" s="225" t="s">
        <v>103</v>
      </c>
      <c r="C4" s="67"/>
      <c r="D4" s="234" t="s">
        <v>105</v>
      </c>
      <c r="E4" s="161"/>
      <c r="F4" s="234" t="s">
        <v>107</v>
      </c>
      <c r="G4" s="68"/>
      <c r="H4" s="234" t="s">
        <v>84</v>
      </c>
      <c r="I4" s="68"/>
      <c r="J4" s="234" t="s">
        <v>85</v>
      </c>
    </row>
    <row r="5" spans="1:14" ht="31.5" customHeight="1" x14ac:dyDescent="0.25">
      <c r="B5" s="226"/>
      <c r="C5" s="160"/>
      <c r="D5" s="226"/>
      <c r="E5" s="152"/>
      <c r="F5" s="226"/>
      <c r="G5" s="152"/>
      <c r="H5" s="226"/>
      <c r="I5" s="152"/>
      <c r="J5" s="226"/>
      <c r="K5" s="254"/>
      <c r="L5" s="254"/>
    </row>
    <row r="6" spans="1:14" s="4" customFormat="1" x14ac:dyDescent="0.25">
      <c r="B6" s="11"/>
      <c r="C6" s="6"/>
      <c r="D6" s="14"/>
      <c r="E6" s="11"/>
      <c r="F6" s="12"/>
      <c r="G6" s="11"/>
      <c r="H6" s="5"/>
      <c r="I6" s="5"/>
      <c r="J6" s="11"/>
      <c r="K6" s="2"/>
      <c r="L6" s="11"/>
    </row>
    <row r="7" spans="1:14" ht="15.75" x14ac:dyDescent="0.25">
      <c r="A7" s="2"/>
      <c r="B7" s="20" t="s">
        <v>122</v>
      </c>
      <c r="C7" s="100"/>
      <c r="D7" s="89">
        <v>7550262.1009999998</v>
      </c>
      <c r="E7" s="100"/>
      <c r="F7" s="89">
        <f>257715425/1000</f>
        <v>257715.42499999999</v>
      </c>
      <c r="G7" s="21"/>
      <c r="H7" s="219">
        <f>(F7*100)/D7</f>
        <v>3.4133308427248732</v>
      </c>
      <c r="I7" s="21"/>
      <c r="J7" s="115">
        <f>(F8+F9)*100/F7</f>
        <v>100</v>
      </c>
      <c r="K7" s="11"/>
      <c r="L7" s="11"/>
    </row>
    <row r="8" spans="1:14" s="4" customFormat="1" x14ac:dyDescent="0.25">
      <c r="A8" s="2"/>
      <c r="B8" s="8" t="s">
        <v>0</v>
      </c>
      <c r="C8" s="102"/>
      <c r="D8" s="103">
        <f>3808397.806</f>
        <v>3808397.8059999999</v>
      </c>
      <c r="E8" s="102"/>
      <c r="F8" s="103">
        <f>133078858/1000</f>
        <v>133078.85800000001</v>
      </c>
      <c r="G8" s="65"/>
      <c r="H8" s="18">
        <f t="shared" ref="H8:H9" si="0">(F8*100)/D8</f>
        <v>3.4943528690815553</v>
      </c>
      <c r="I8" s="16"/>
      <c r="J8" s="13">
        <f>F8*100/F7</f>
        <v>51.637909527534106</v>
      </c>
      <c r="K8" s="63"/>
      <c r="L8" s="13"/>
    </row>
    <row r="9" spans="1:14" s="4" customFormat="1" x14ac:dyDescent="0.25">
      <c r="A9" s="2"/>
      <c r="B9" s="8" t="s">
        <v>1</v>
      </c>
      <c r="C9" s="102"/>
      <c r="D9" s="103">
        <f>3740793.883</f>
        <v>3740793.8829999999</v>
      </c>
      <c r="E9" s="102"/>
      <c r="F9" s="103">
        <f>124636567/1000</f>
        <v>124636.567</v>
      </c>
      <c r="G9" s="65"/>
      <c r="H9" s="18">
        <f t="shared" si="0"/>
        <v>3.3318212897644433</v>
      </c>
      <c r="I9" s="16"/>
      <c r="J9" s="13">
        <f>F9*100/F7</f>
        <v>48.362090472465901</v>
      </c>
      <c r="K9" s="63"/>
      <c r="L9" s="13"/>
    </row>
    <row r="10" spans="1:14" s="4" customFormat="1" x14ac:dyDescent="0.25">
      <c r="A10" s="2"/>
      <c r="B10" s="7"/>
      <c r="C10" s="104"/>
      <c r="D10" s="102"/>
      <c r="E10" s="104"/>
      <c r="F10" s="87"/>
      <c r="G10" s="65"/>
      <c r="H10" s="176"/>
      <c r="I10" s="16"/>
      <c r="J10" s="65"/>
      <c r="K10" s="63"/>
      <c r="L10" s="65"/>
    </row>
    <row r="11" spans="1:14" s="4" customFormat="1" ht="15.75" x14ac:dyDescent="0.25">
      <c r="A11" s="2"/>
      <c r="B11" s="24" t="s">
        <v>125</v>
      </c>
      <c r="C11" s="105"/>
      <c r="D11" s="106">
        <f t="shared" ref="D11" si="1">SUM(D12:D27)</f>
        <v>7549191.733</v>
      </c>
      <c r="E11" s="105"/>
      <c r="F11" s="101">
        <f t="shared" ref="F11" si="2">SUM(F12:F27)</f>
        <v>257714.01799999998</v>
      </c>
      <c r="G11" s="25"/>
      <c r="H11" s="175">
        <f>F11*100/D7</f>
        <v>3.413312207610208</v>
      </c>
      <c r="I11" s="26"/>
      <c r="J11" s="84">
        <v>99.999423882379844</v>
      </c>
      <c r="K11" s="63"/>
      <c r="L11" s="11"/>
    </row>
    <row r="12" spans="1:14" s="4" customFormat="1" x14ac:dyDescent="0.25">
      <c r="A12" s="2"/>
      <c r="B12" s="9" t="s">
        <v>3</v>
      </c>
      <c r="C12" s="97"/>
      <c r="D12" s="103">
        <v>677854.02600000007</v>
      </c>
      <c r="E12" s="87"/>
      <c r="F12" s="103">
        <f>7870055/1000</f>
        <v>7870.0550000000003</v>
      </c>
      <c r="G12" s="65"/>
      <c r="H12" s="18">
        <f>(F12*100)/D12</f>
        <v>1.1610250434656264</v>
      </c>
      <c r="I12" s="16"/>
      <c r="J12" s="18">
        <f>(F12*100)/$F$7</f>
        <v>3.0537772428639069</v>
      </c>
      <c r="K12" s="63"/>
      <c r="L12" s="13"/>
    </row>
    <row r="13" spans="1:14" x14ac:dyDescent="0.25">
      <c r="A13" s="2"/>
      <c r="B13" s="10" t="s">
        <v>4</v>
      </c>
      <c r="C13" s="107"/>
      <c r="D13" s="103">
        <v>655535.18999999994</v>
      </c>
      <c r="E13" s="107"/>
      <c r="F13" s="103">
        <f>8501512/1000</f>
        <v>8501.5120000000006</v>
      </c>
      <c r="G13" s="65"/>
      <c r="H13" s="18">
        <f t="shared" ref="H13:H27" si="3">(F13*100)/D13</f>
        <v>1.2968811025995419</v>
      </c>
      <c r="I13" s="16"/>
      <c r="J13" s="18">
        <f t="shared" ref="J13:J27" si="4">(F13*100)/$F$7</f>
        <v>3.2987982772082818</v>
      </c>
      <c r="K13" s="63"/>
      <c r="L13" s="13"/>
    </row>
    <row r="14" spans="1:14" x14ac:dyDescent="0.25">
      <c r="A14" s="2"/>
      <c r="B14" s="10" t="s">
        <v>5</v>
      </c>
      <c r="C14" s="107"/>
      <c r="D14" s="103">
        <v>623300.07899999979</v>
      </c>
      <c r="E14" s="87"/>
      <c r="F14" s="103">
        <f>8787022/1000</f>
        <v>8787.0220000000008</v>
      </c>
      <c r="G14" s="65"/>
      <c r="H14" s="18">
        <f t="shared" si="3"/>
        <v>1.4097578832490416</v>
      </c>
      <c r="I14" s="16"/>
      <c r="J14" s="18">
        <f t="shared" si="4"/>
        <v>3.4095832641759807</v>
      </c>
      <c r="K14" s="63"/>
      <c r="L14" s="13"/>
      <c r="M14" s="1"/>
      <c r="N14" s="1"/>
    </row>
    <row r="15" spans="1:14" x14ac:dyDescent="0.25">
      <c r="A15" s="2"/>
      <c r="B15" s="10" t="s">
        <v>6</v>
      </c>
      <c r="C15" s="107"/>
      <c r="D15" s="103">
        <v>596739.79399999999</v>
      </c>
      <c r="E15" s="87"/>
      <c r="F15" s="103">
        <f>10868872/1000</f>
        <v>10868.871999999999</v>
      </c>
      <c r="G15" s="65"/>
      <c r="H15" s="18">
        <f t="shared" si="3"/>
        <v>1.8213754318519606</v>
      </c>
      <c r="I15" s="16"/>
      <c r="J15" s="18">
        <f t="shared" si="4"/>
        <v>4.2173928859710283</v>
      </c>
      <c r="K15" s="63"/>
      <c r="L15" s="13"/>
      <c r="M15" s="3"/>
      <c r="N15" s="2"/>
    </row>
    <row r="16" spans="1:14" x14ac:dyDescent="0.25">
      <c r="A16" s="2"/>
      <c r="B16" s="9" t="s">
        <v>7</v>
      </c>
      <c r="C16" s="97"/>
      <c r="D16" s="103">
        <v>593844.8130000002</v>
      </c>
      <c r="E16" s="87"/>
      <c r="F16" s="103">
        <f>17039051/1000</f>
        <v>17039.050999999999</v>
      </c>
      <c r="G16" s="65"/>
      <c r="H16" s="18">
        <f t="shared" si="3"/>
        <v>2.869276724658365</v>
      </c>
      <c r="I16" s="16"/>
      <c r="J16" s="18">
        <f t="shared" si="4"/>
        <v>6.6115759272073058</v>
      </c>
      <c r="K16" s="63"/>
      <c r="L16" s="13"/>
    </row>
    <row r="17" spans="1:14" x14ac:dyDescent="0.25">
      <c r="A17" s="2"/>
      <c r="B17" s="9" t="s">
        <v>8</v>
      </c>
      <c r="C17" s="97"/>
      <c r="D17" s="103">
        <v>612365.5</v>
      </c>
      <c r="E17" s="97"/>
      <c r="F17" s="103">
        <f>24531891/1000</f>
        <v>24531.891</v>
      </c>
      <c r="G17" s="65"/>
      <c r="H17" s="18">
        <f t="shared" si="3"/>
        <v>4.0060863977477501</v>
      </c>
      <c r="I17" s="16"/>
      <c r="J17" s="18">
        <f t="shared" si="4"/>
        <v>9.5189843603657032</v>
      </c>
      <c r="K17" s="63"/>
      <c r="L17" s="13"/>
    </row>
    <row r="18" spans="1:14" x14ac:dyDescent="0.25">
      <c r="A18" s="2"/>
      <c r="B18" s="9" t="s">
        <v>9</v>
      </c>
      <c r="C18" s="97"/>
      <c r="D18" s="103">
        <v>578857.27300000028</v>
      </c>
      <c r="E18" s="87"/>
      <c r="F18" s="103">
        <f>28110718/1000</f>
        <v>28110.718000000001</v>
      </c>
      <c r="G18" s="65"/>
      <c r="H18" s="18">
        <f t="shared" si="3"/>
        <v>4.8562433800499196</v>
      </c>
      <c r="I18" s="16"/>
      <c r="J18" s="18">
        <f t="shared" si="4"/>
        <v>10.907658321188965</v>
      </c>
      <c r="K18" s="63"/>
      <c r="L18" s="13"/>
    </row>
    <row r="19" spans="1:14" x14ac:dyDescent="0.25">
      <c r="A19" s="2"/>
      <c r="B19" s="9" t="s">
        <v>10</v>
      </c>
      <c r="C19" s="97"/>
      <c r="D19" s="103">
        <v>514827.69499999995</v>
      </c>
      <c r="E19" s="97"/>
      <c r="F19" s="103">
        <f>27425221/1000</f>
        <v>27425.221000000001</v>
      </c>
      <c r="G19" s="65"/>
      <c r="H19" s="18">
        <f t="shared" si="3"/>
        <v>5.3270679231815619</v>
      </c>
      <c r="I19" s="16"/>
      <c r="J19" s="18">
        <f t="shared" si="4"/>
        <v>10.64166842167092</v>
      </c>
      <c r="K19" s="63"/>
      <c r="L19" s="13"/>
    </row>
    <row r="20" spans="1:14" x14ac:dyDescent="0.25">
      <c r="A20" s="2"/>
      <c r="B20" s="9" t="s">
        <v>11</v>
      </c>
      <c r="C20" s="97"/>
      <c r="D20" s="103">
        <v>487872.7730000001</v>
      </c>
      <c r="E20" s="87"/>
      <c r="F20" s="103">
        <f>25001330/1000</f>
        <v>25001.33</v>
      </c>
      <c r="G20" s="65"/>
      <c r="H20" s="18">
        <f t="shared" si="3"/>
        <v>5.1245593899948982</v>
      </c>
      <c r="I20" s="16"/>
      <c r="J20" s="18">
        <f t="shared" si="4"/>
        <v>9.7011383777280695</v>
      </c>
      <c r="K20" s="63"/>
      <c r="L20" s="13"/>
    </row>
    <row r="21" spans="1:14" x14ac:dyDescent="0.25">
      <c r="A21" s="2"/>
      <c r="B21" s="9" t="s">
        <v>12</v>
      </c>
      <c r="C21" s="97"/>
      <c r="D21" s="103">
        <v>467084.06200000003</v>
      </c>
      <c r="E21" s="87"/>
      <c r="F21" s="103">
        <f>22110995/1000</f>
        <v>22110.994999999999</v>
      </c>
      <c r="G21" s="65"/>
      <c r="H21" s="18">
        <f t="shared" si="3"/>
        <v>4.7338363260187624</v>
      </c>
      <c r="I21" s="16"/>
      <c r="J21" s="18">
        <f t="shared" si="4"/>
        <v>8.5796164509749477</v>
      </c>
      <c r="K21" s="63"/>
      <c r="L21" s="13"/>
    </row>
    <row r="22" spans="1:14" x14ac:dyDescent="0.25">
      <c r="A22" s="2"/>
      <c r="B22" s="9" t="s">
        <v>13</v>
      </c>
      <c r="C22" s="97"/>
      <c r="D22" s="103">
        <v>421503.2269999999</v>
      </c>
      <c r="E22" s="87"/>
      <c r="F22" s="103">
        <f>18875651/1000</f>
        <v>18875.651000000002</v>
      </c>
      <c r="G22" s="65"/>
      <c r="H22" s="18">
        <f t="shared" si="3"/>
        <v>4.4781747305578765</v>
      </c>
      <c r="I22" s="16"/>
      <c r="J22" s="18">
        <f t="shared" si="4"/>
        <v>7.3242224441940182</v>
      </c>
      <c r="K22" s="63"/>
      <c r="L22" s="13"/>
    </row>
    <row r="23" spans="1:14" x14ac:dyDescent="0.25">
      <c r="A23" s="2"/>
      <c r="B23" s="9" t="s">
        <v>14</v>
      </c>
      <c r="C23" s="97"/>
      <c r="D23" s="103">
        <v>357332.35700000002</v>
      </c>
      <c r="E23" s="97"/>
      <c r="F23" s="103">
        <f>15734625/1000</f>
        <v>15734.625</v>
      </c>
      <c r="G23" s="65"/>
      <c r="H23" s="18">
        <f t="shared" si="3"/>
        <v>4.4033585796989545</v>
      </c>
      <c r="I23" s="16"/>
      <c r="J23" s="18">
        <f t="shared" si="4"/>
        <v>6.10542616919418</v>
      </c>
      <c r="K23" s="63"/>
      <c r="L23" s="13"/>
    </row>
    <row r="24" spans="1:14" x14ac:dyDescent="0.25">
      <c r="A24" s="2"/>
      <c r="B24" s="9" t="s">
        <v>15</v>
      </c>
      <c r="C24" s="97"/>
      <c r="D24" s="103">
        <v>305446.39700000006</v>
      </c>
      <c r="E24" s="87"/>
      <c r="F24" s="103">
        <f>12670110/1000</f>
        <v>12670.11</v>
      </c>
      <c r="G24" s="65"/>
      <c r="H24" s="18">
        <f t="shared" si="3"/>
        <v>4.1480633343335844</v>
      </c>
      <c r="I24" s="16"/>
      <c r="J24" s="18">
        <f t="shared" si="4"/>
        <v>4.9163180667202981</v>
      </c>
      <c r="K24" s="63"/>
      <c r="L24" s="13"/>
    </row>
    <row r="25" spans="1:14" x14ac:dyDescent="0.25">
      <c r="A25" s="2"/>
      <c r="B25" s="132" t="s">
        <v>75</v>
      </c>
      <c r="C25" s="97"/>
      <c r="D25" s="103">
        <v>237911.19499999998</v>
      </c>
      <c r="E25" s="97"/>
      <c r="F25" s="103">
        <f>10109526/1000</f>
        <v>10109.526</v>
      </c>
      <c r="G25" s="65"/>
      <c r="H25" s="18">
        <f t="shared" si="3"/>
        <v>4.2492855369836633</v>
      </c>
      <c r="I25" s="16"/>
      <c r="J25" s="18">
        <f t="shared" si="4"/>
        <v>3.9227477361900243</v>
      </c>
      <c r="K25" s="63"/>
      <c r="L25" s="13"/>
    </row>
    <row r="26" spans="1:14" s="129" customFormat="1" x14ac:dyDescent="0.25">
      <c r="A26" s="2"/>
      <c r="B26" s="132" t="s">
        <v>76</v>
      </c>
      <c r="C26" s="97"/>
      <c r="D26" s="103">
        <v>164160.24300000002</v>
      </c>
      <c r="E26" s="97"/>
      <c r="F26" s="103">
        <f>7688803/1000</f>
        <v>7688.8029999999999</v>
      </c>
      <c r="G26" s="83"/>
      <c r="H26" s="18">
        <f t="shared" si="3"/>
        <v>4.6837180912311389</v>
      </c>
      <c r="I26" s="16"/>
      <c r="J26" s="18">
        <f t="shared" si="4"/>
        <v>2.9834469551056171</v>
      </c>
      <c r="K26" s="63"/>
      <c r="L26" s="13"/>
    </row>
    <row r="27" spans="1:14" s="129" customFormat="1" x14ac:dyDescent="0.25">
      <c r="A27" s="2"/>
      <c r="B27" s="132" t="s">
        <v>77</v>
      </c>
      <c r="C27" s="97"/>
      <c r="D27" s="103">
        <v>254557.10899999988</v>
      </c>
      <c r="E27" s="97"/>
      <c r="F27" s="103">
        <f>12388636/1000</f>
        <v>12388.636</v>
      </c>
      <c r="G27" s="83"/>
      <c r="H27" s="18">
        <f t="shared" si="3"/>
        <v>4.8667413173678078</v>
      </c>
      <c r="I27" s="16"/>
      <c r="J27" s="18">
        <f t="shared" si="4"/>
        <v>4.8070991482174579</v>
      </c>
      <c r="K27" s="63"/>
      <c r="L27" s="13"/>
    </row>
    <row r="28" spans="1:14" s="129" customFormat="1" x14ac:dyDescent="0.25">
      <c r="A28" s="2"/>
      <c r="B28" s="132"/>
      <c r="C28" s="97"/>
      <c r="D28" s="103"/>
      <c r="E28" s="97"/>
      <c r="F28" s="103"/>
      <c r="G28" s="83"/>
      <c r="H28" s="18"/>
      <c r="I28" s="16"/>
      <c r="J28" s="13"/>
      <c r="K28" s="221"/>
      <c r="L28" s="13"/>
    </row>
    <row r="29" spans="1:14" x14ac:dyDescent="0.25">
      <c r="A29" s="2"/>
      <c r="B29" s="24" t="s">
        <v>96</v>
      </c>
      <c r="C29" s="105"/>
      <c r="D29" s="106">
        <f t="shared" ref="D29" si="5">SUM(D30:D45)</f>
        <v>3808397.8060000003</v>
      </c>
      <c r="E29" s="105"/>
      <c r="F29" s="89">
        <f>SUM(F30:F45)</f>
        <v>133078.14799999999</v>
      </c>
      <c r="G29" s="25"/>
      <c r="H29" s="175">
        <f>F29*100/D29</f>
        <v>3.4943342260711296</v>
      </c>
      <c r="I29" s="26"/>
      <c r="J29" s="84">
        <v>100.00000000000001</v>
      </c>
      <c r="K29" s="2"/>
      <c r="L29" s="65"/>
    </row>
    <row r="30" spans="1:14" s="129" customFormat="1" x14ac:dyDescent="0.25">
      <c r="A30" s="2"/>
      <c r="B30" s="9" t="s">
        <v>3</v>
      </c>
      <c r="C30" s="97"/>
      <c r="D30" s="103">
        <v>350285.23200000002</v>
      </c>
      <c r="E30" s="87"/>
      <c r="F30" s="103">
        <f>4026035/1000</f>
        <v>4026.0349999999999</v>
      </c>
      <c r="G30" s="83"/>
      <c r="H30" s="18">
        <f>F30*100/D30</f>
        <v>1.1493590457733027</v>
      </c>
      <c r="I30" s="16"/>
      <c r="J30" s="18">
        <f>F30*100/$F$8</f>
        <v>3.0253002321375493</v>
      </c>
      <c r="K30" s="63"/>
      <c r="L30" s="13"/>
    </row>
    <row r="31" spans="1:14" s="129" customFormat="1" x14ac:dyDescent="0.25">
      <c r="A31" s="2"/>
      <c r="B31" s="10" t="s">
        <v>4</v>
      </c>
      <c r="C31" s="107"/>
      <c r="D31" s="103">
        <v>338855.26800000004</v>
      </c>
      <c r="E31" s="107"/>
      <c r="F31" s="103">
        <f>4323324/1000</f>
        <v>4323.3239999999996</v>
      </c>
      <c r="G31" s="83"/>
      <c r="H31" s="18">
        <f t="shared" ref="H31:H45" si="6">F31*100/D31</f>
        <v>1.2758615279960763</v>
      </c>
      <c r="I31" s="16"/>
      <c r="J31" s="18">
        <f t="shared" ref="J31:J45" si="7">F31*100/$F$8</f>
        <v>3.2486933424090543</v>
      </c>
      <c r="K31" s="63"/>
      <c r="L31" s="13"/>
    </row>
    <row r="32" spans="1:14" s="129" customFormat="1" x14ac:dyDescent="0.25">
      <c r="A32" s="2"/>
      <c r="B32" s="10" t="s">
        <v>5</v>
      </c>
      <c r="C32" s="107"/>
      <c r="D32" s="103">
        <v>322324.34599999996</v>
      </c>
      <c r="E32" s="87"/>
      <c r="F32" s="103">
        <f>4493579/1000</f>
        <v>4493.5789999999997</v>
      </c>
      <c r="G32" s="83"/>
      <c r="H32" s="18">
        <f t="shared" si="6"/>
        <v>1.3941171542778839</v>
      </c>
      <c r="I32" s="16"/>
      <c r="J32" s="18">
        <f t="shared" si="7"/>
        <v>3.3766287654797873</v>
      </c>
      <c r="K32" s="63"/>
      <c r="L32" s="13"/>
      <c r="M32" s="1"/>
      <c r="N32" s="1"/>
    </row>
    <row r="33" spans="1:14" s="129" customFormat="1" x14ac:dyDescent="0.25">
      <c r="A33" s="2"/>
      <c r="B33" s="10" t="s">
        <v>6</v>
      </c>
      <c r="C33" s="107"/>
      <c r="D33" s="103">
        <v>308293.93399999983</v>
      </c>
      <c r="E33" s="87"/>
      <c r="F33" s="103">
        <f>5568564/1000</f>
        <v>5568.5640000000003</v>
      </c>
      <c r="G33" s="83"/>
      <c r="H33" s="18">
        <f t="shared" si="6"/>
        <v>1.806251562510472</v>
      </c>
      <c r="I33" s="16"/>
      <c r="J33" s="18">
        <f t="shared" si="7"/>
        <v>4.1844092169772003</v>
      </c>
      <c r="K33" s="63"/>
      <c r="L33" s="13"/>
      <c r="M33" s="3"/>
      <c r="N33" s="2"/>
    </row>
    <row r="34" spans="1:14" s="129" customFormat="1" x14ac:dyDescent="0.25">
      <c r="A34" s="2"/>
      <c r="B34" s="9" t="s">
        <v>7</v>
      </c>
      <c r="C34" s="97"/>
      <c r="D34" s="103">
        <v>306061.82600000029</v>
      </c>
      <c r="E34" s="87"/>
      <c r="F34" s="103">
        <f>8927913/1000</f>
        <v>8927.9130000000005</v>
      </c>
      <c r="G34" s="83"/>
      <c r="H34" s="18">
        <f t="shared" si="6"/>
        <v>2.9170292540827982</v>
      </c>
      <c r="I34" s="16"/>
      <c r="J34" s="18">
        <f t="shared" si="7"/>
        <v>6.7087388140947226</v>
      </c>
      <c r="K34" s="63"/>
      <c r="L34" s="13"/>
    </row>
    <row r="35" spans="1:14" s="129" customFormat="1" x14ac:dyDescent="0.25">
      <c r="A35" s="2"/>
      <c r="B35" s="9" t="s">
        <v>8</v>
      </c>
      <c r="C35" s="97"/>
      <c r="D35" s="103">
        <v>313598.55300000025</v>
      </c>
      <c r="E35" s="97"/>
      <c r="F35" s="103">
        <f>13092800/1000</f>
        <v>13092.8</v>
      </c>
      <c r="G35" s="83"/>
      <c r="H35" s="18">
        <f t="shared" si="6"/>
        <v>4.1750192641992161</v>
      </c>
      <c r="I35" s="16"/>
      <c r="J35" s="18">
        <f t="shared" si="7"/>
        <v>9.8383771823470259</v>
      </c>
      <c r="K35" s="63"/>
      <c r="L35" s="13"/>
    </row>
    <row r="36" spans="1:14" s="129" customFormat="1" x14ac:dyDescent="0.25">
      <c r="A36" s="2"/>
      <c r="B36" s="9" t="s">
        <v>9</v>
      </c>
      <c r="C36" s="97"/>
      <c r="D36" s="103">
        <v>294264.30799999984</v>
      </c>
      <c r="E36" s="87"/>
      <c r="F36" s="103">
        <f>15218315/1000</f>
        <v>15218.315000000001</v>
      </c>
      <c r="G36" s="83"/>
      <c r="H36" s="18">
        <f t="shared" si="6"/>
        <v>5.1716482720697501</v>
      </c>
      <c r="I36" s="16"/>
      <c r="J36" s="18">
        <f t="shared" si="7"/>
        <v>11.435561762936077</v>
      </c>
      <c r="K36" s="63"/>
      <c r="L36" s="13"/>
    </row>
    <row r="37" spans="1:14" s="129" customFormat="1" x14ac:dyDescent="0.25">
      <c r="A37" s="2"/>
      <c r="B37" s="9" t="s">
        <v>10</v>
      </c>
      <c r="C37" s="97"/>
      <c r="D37" s="103">
        <v>260589.76299999989</v>
      </c>
      <c r="E37" s="97"/>
      <c r="F37" s="103">
        <f>14828113/1000</f>
        <v>14828.112999999999</v>
      </c>
      <c r="G37" s="83"/>
      <c r="H37" s="18">
        <f t="shared" si="6"/>
        <v>5.6902131646667975</v>
      </c>
      <c r="I37" s="16"/>
      <c r="J37" s="18">
        <f t="shared" si="7"/>
        <v>11.142350650469213</v>
      </c>
      <c r="K37" s="63"/>
      <c r="L37" s="13"/>
    </row>
    <row r="38" spans="1:14" s="129" customFormat="1" x14ac:dyDescent="0.25">
      <c r="A38" s="2"/>
      <c r="B38" s="9" t="s">
        <v>11</v>
      </c>
      <c r="C38" s="97"/>
      <c r="D38" s="103">
        <v>246697.16999999998</v>
      </c>
      <c r="E38" s="87"/>
      <c r="F38" s="103">
        <f>13445972/1000</f>
        <v>13445.972</v>
      </c>
      <c r="G38" s="83"/>
      <c r="H38" s="18">
        <f t="shared" si="6"/>
        <v>5.4503957220101071</v>
      </c>
      <c r="I38" s="16"/>
      <c r="J38" s="18">
        <f t="shared" si="7"/>
        <v>10.103762687834305</v>
      </c>
      <c r="K38" s="63"/>
      <c r="L38" s="13"/>
    </row>
    <row r="39" spans="1:14" s="129" customFormat="1" x14ac:dyDescent="0.25">
      <c r="A39" s="2"/>
      <c r="B39" s="9" t="s">
        <v>12</v>
      </c>
      <c r="C39" s="97"/>
      <c r="D39" s="103">
        <v>234976.26300000021</v>
      </c>
      <c r="E39" s="87"/>
      <c r="F39" s="103">
        <f>11760992/1000</f>
        <v>11760.992</v>
      </c>
      <c r="G39" s="83"/>
      <c r="H39" s="18">
        <f t="shared" si="6"/>
        <v>5.00518301289011</v>
      </c>
      <c r="I39" s="16"/>
      <c r="J39" s="18">
        <f t="shared" si="7"/>
        <v>8.837611155334681</v>
      </c>
      <c r="K39" s="63"/>
      <c r="L39" s="13"/>
    </row>
    <row r="40" spans="1:14" s="129" customFormat="1" x14ac:dyDescent="0.25">
      <c r="A40" s="2"/>
      <c r="B40" s="9" t="s">
        <v>13</v>
      </c>
      <c r="C40" s="97"/>
      <c r="D40" s="103">
        <v>210630.89700000003</v>
      </c>
      <c r="E40" s="87"/>
      <c r="F40" s="103">
        <f>9841626/1000</f>
        <v>9841.6260000000002</v>
      </c>
      <c r="G40" s="83"/>
      <c r="H40" s="18">
        <f t="shared" si="6"/>
        <v>4.6724512596079384</v>
      </c>
      <c r="I40" s="16"/>
      <c r="J40" s="18">
        <f t="shared" si="7"/>
        <v>7.3953339755891196</v>
      </c>
      <c r="K40" s="63"/>
      <c r="L40" s="13"/>
    </row>
    <row r="41" spans="1:14" s="129" customFormat="1" x14ac:dyDescent="0.25">
      <c r="A41" s="2"/>
      <c r="B41" s="9" t="s">
        <v>14</v>
      </c>
      <c r="C41" s="97"/>
      <c r="D41" s="103">
        <v>176825.07299999992</v>
      </c>
      <c r="E41" s="97"/>
      <c r="F41" s="103">
        <f>7909386/1000</f>
        <v>7909.3860000000004</v>
      </c>
      <c r="G41" s="83"/>
      <c r="H41" s="18">
        <f t="shared" si="6"/>
        <v>4.4730002741183679</v>
      </c>
      <c r="I41" s="16"/>
      <c r="J41" s="18">
        <f t="shared" si="7"/>
        <v>5.9433828324556259</v>
      </c>
      <c r="K41" s="63"/>
      <c r="L41" s="13"/>
    </row>
    <row r="42" spans="1:14" s="129" customFormat="1" x14ac:dyDescent="0.25">
      <c r="A42" s="2"/>
      <c r="B42" s="9" t="s">
        <v>15</v>
      </c>
      <c r="C42" s="97"/>
      <c r="D42" s="103">
        <v>148989.12200000009</v>
      </c>
      <c r="E42" s="87"/>
      <c r="F42" s="103">
        <f>6159711/1000</f>
        <v>6159.7110000000002</v>
      </c>
      <c r="G42" s="83"/>
      <c r="H42" s="18">
        <f t="shared" si="6"/>
        <v>4.1343360624676988</v>
      </c>
      <c r="I42" s="16"/>
      <c r="J42" s="18">
        <f t="shared" si="7"/>
        <v>4.6286172669140271</v>
      </c>
      <c r="K42" s="63"/>
      <c r="L42" s="13"/>
    </row>
    <row r="43" spans="1:14" s="129" customFormat="1" x14ac:dyDescent="0.25">
      <c r="A43" s="2"/>
      <c r="B43" s="132" t="s">
        <v>75</v>
      </c>
      <c r="C43" s="97"/>
      <c r="D43" s="103">
        <v>113743.677</v>
      </c>
      <c r="E43" s="97"/>
      <c r="F43" s="103">
        <f>4807293/1000</f>
        <v>4807.2929999999997</v>
      </c>
      <c r="G43" s="83"/>
      <c r="H43" s="18">
        <f t="shared" si="6"/>
        <v>4.2264265819365061</v>
      </c>
      <c r="I43" s="16"/>
      <c r="J43" s="18">
        <f t="shared" si="7"/>
        <v>3.6123641818447223</v>
      </c>
      <c r="K43" s="63"/>
      <c r="L43" s="13"/>
    </row>
    <row r="44" spans="1:14" s="129" customFormat="1" x14ac:dyDescent="0.25">
      <c r="A44" s="2"/>
      <c r="B44" s="132" t="s">
        <v>76</v>
      </c>
      <c r="C44" s="97"/>
      <c r="D44" s="103">
        <v>76396.03200000005</v>
      </c>
      <c r="E44" s="97"/>
      <c r="F44" s="103">
        <f>3537149/1000</f>
        <v>3537.1489999999999</v>
      </c>
      <c r="G44" s="83"/>
      <c r="H44" s="18">
        <f t="shared" si="6"/>
        <v>4.6300166479850651</v>
      </c>
      <c r="I44" s="16"/>
      <c r="J44" s="18">
        <f t="shared" si="7"/>
        <v>2.6579345909325429</v>
      </c>
      <c r="K44" s="63"/>
      <c r="L44" s="13"/>
    </row>
    <row r="45" spans="1:14" s="129" customFormat="1" x14ac:dyDescent="0.25">
      <c r="A45" s="2"/>
      <c r="B45" s="132" t="s">
        <v>77</v>
      </c>
      <c r="C45" s="97"/>
      <c r="D45" s="103">
        <v>105866.34199999998</v>
      </c>
      <c r="E45" s="97"/>
      <c r="F45" s="103">
        <f>5137376/1000</f>
        <v>5137.3760000000002</v>
      </c>
      <c r="G45" s="83"/>
      <c r="H45" s="18">
        <f t="shared" si="6"/>
        <v>4.8527000205598885</v>
      </c>
      <c r="I45" s="16"/>
      <c r="J45" s="18">
        <f t="shared" si="7"/>
        <v>3.8603998239900736</v>
      </c>
      <c r="K45" s="63"/>
      <c r="L45" s="13"/>
    </row>
    <row r="46" spans="1:14" s="129" customFormat="1" ht="8.25" customHeight="1" x14ac:dyDescent="0.25">
      <c r="A46" s="2"/>
      <c r="B46" s="132"/>
      <c r="C46" s="97"/>
      <c r="D46" s="127"/>
      <c r="E46" s="97"/>
      <c r="F46" s="127"/>
      <c r="G46" s="83"/>
      <c r="H46" s="18"/>
      <c r="I46" s="16"/>
      <c r="J46" s="18"/>
      <c r="K46" s="63"/>
      <c r="L46" s="13"/>
    </row>
    <row r="47" spans="1:14" s="129" customFormat="1" x14ac:dyDescent="0.25">
      <c r="A47" s="2"/>
      <c r="B47" s="24" t="s">
        <v>97</v>
      </c>
      <c r="C47" s="105"/>
      <c r="D47" s="106">
        <f t="shared" ref="D47" si="8">SUM(D48:D63)</f>
        <v>3740793.8830000004</v>
      </c>
      <c r="E47" s="105"/>
      <c r="F47" s="101">
        <f t="shared" ref="F47" si="9">SUM(F48:F63)</f>
        <v>124635.87</v>
      </c>
      <c r="G47" s="25"/>
      <c r="H47" s="175">
        <f>(F47*100)/D47</f>
        <v>3.3318026573558739</v>
      </c>
      <c r="I47" s="26"/>
      <c r="J47" s="84">
        <v>100.00000000000001</v>
      </c>
      <c r="K47" s="2"/>
      <c r="L47" s="83"/>
    </row>
    <row r="48" spans="1:14" s="129" customFormat="1" x14ac:dyDescent="0.25">
      <c r="A48" s="2"/>
      <c r="B48" s="9" t="s">
        <v>3</v>
      </c>
      <c r="C48" s="97"/>
      <c r="D48" s="103">
        <v>327567.38300000015</v>
      </c>
      <c r="E48" s="87"/>
      <c r="F48" s="103">
        <f>3844020/1000</f>
        <v>3844.02</v>
      </c>
      <c r="G48" s="83"/>
      <c r="H48" s="18">
        <f t="shared" ref="H48:H63" si="10">(F48*100)/D48</f>
        <v>1.1735051166556465</v>
      </c>
      <c r="I48" s="16"/>
      <c r="J48" s="18">
        <f>(F48*100)/$F$9</f>
        <v>3.0841831514823417</v>
      </c>
      <c r="K48" s="63"/>
      <c r="L48" s="13"/>
    </row>
    <row r="49" spans="1:14" s="129" customFormat="1" x14ac:dyDescent="0.25">
      <c r="A49" s="2"/>
      <c r="B49" s="10" t="s">
        <v>4</v>
      </c>
      <c r="C49" s="107"/>
      <c r="D49" s="103">
        <v>316678.79100000003</v>
      </c>
      <c r="E49" s="107"/>
      <c r="F49" s="103">
        <f>4178188/1000</f>
        <v>4178.1880000000001</v>
      </c>
      <c r="G49" s="83"/>
      <c r="H49" s="18">
        <f t="shared" si="10"/>
        <v>1.3193772739899083</v>
      </c>
      <c r="I49" s="16"/>
      <c r="J49" s="18">
        <f t="shared" ref="J49:J63" si="11">(F49*100)/$F$9</f>
        <v>3.3522970830863787</v>
      </c>
      <c r="K49" s="63"/>
      <c r="L49" s="13"/>
    </row>
    <row r="50" spans="1:14" s="129" customFormat="1" x14ac:dyDescent="0.25">
      <c r="A50" s="2"/>
      <c r="B50" s="10" t="s">
        <v>5</v>
      </c>
      <c r="C50" s="107"/>
      <c r="D50" s="103">
        <v>300974.57300000015</v>
      </c>
      <c r="E50" s="87"/>
      <c r="F50" s="103">
        <f>4293443/1000</f>
        <v>4293.4430000000002</v>
      </c>
      <c r="G50" s="83"/>
      <c r="H50" s="18">
        <f t="shared" si="10"/>
        <v>1.4265135281045813</v>
      </c>
      <c r="I50" s="16"/>
      <c r="J50" s="18">
        <f t="shared" si="11"/>
        <v>3.4447699446022133</v>
      </c>
      <c r="K50" s="63"/>
      <c r="L50" s="13"/>
      <c r="M50" s="1"/>
      <c r="N50" s="1"/>
    </row>
    <row r="51" spans="1:14" s="129" customFormat="1" x14ac:dyDescent="0.25">
      <c r="A51" s="2"/>
      <c r="B51" s="10" t="s">
        <v>6</v>
      </c>
      <c r="C51" s="107"/>
      <c r="D51" s="103">
        <v>288444.87500000006</v>
      </c>
      <c r="E51" s="87"/>
      <c r="F51" s="103">
        <f>5300308/1000</f>
        <v>5300.308</v>
      </c>
      <c r="G51" s="83"/>
      <c r="H51" s="18">
        <f t="shared" si="10"/>
        <v>1.8375462555886977</v>
      </c>
      <c r="I51" s="16"/>
      <c r="J51" s="18">
        <f t="shared" si="11"/>
        <v>4.2526107125527624</v>
      </c>
      <c r="K51" s="63"/>
      <c r="L51" s="13"/>
      <c r="M51" s="3"/>
      <c r="N51" s="2"/>
    </row>
    <row r="52" spans="1:14" s="129" customFormat="1" x14ac:dyDescent="0.25">
      <c r="A52" s="2"/>
      <c r="B52" s="9" t="s">
        <v>7</v>
      </c>
      <c r="C52" s="97"/>
      <c r="D52" s="103">
        <v>287782.71200000006</v>
      </c>
      <c r="E52" s="87"/>
      <c r="F52" s="103">
        <f>8111138/1000</f>
        <v>8111.1379999999999</v>
      </c>
      <c r="G52" s="83"/>
      <c r="H52" s="18">
        <f t="shared" si="10"/>
        <v>2.8184938364191936</v>
      </c>
      <c r="I52" s="16"/>
      <c r="J52" s="18">
        <f t="shared" si="11"/>
        <v>6.507831686346111</v>
      </c>
      <c r="K52" s="63"/>
      <c r="L52" s="13"/>
    </row>
    <row r="53" spans="1:14" s="129" customFormat="1" x14ac:dyDescent="0.25">
      <c r="A53" s="2"/>
      <c r="B53" s="9" t="s">
        <v>8</v>
      </c>
      <c r="C53" s="97"/>
      <c r="D53" s="103">
        <v>298767.58200000005</v>
      </c>
      <c r="E53" s="97"/>
      <c r="F53" s="103">
        <f>11439091/1000</f>
        <v>11439.091</v>
      </c>
      <c r="G53" s="83"/>
      <c r="H53" s="18">
        <f t="shared" si="10"/>
        <v>3.8287591054641261</v>
      </c>
      <c r="I53" s="16"/>
      <c r="J53" s="18">
        <f t="shared" si="11"/>
        <v>9.1779573806778565</v>
      </c>
      <c r="K53" s="63"/>
      <c r="L53" s="13"/>
    </row>
    <row r="54" spans="1:14" s="129" customFormat="1" x14ac:dyDescent="0.25">
      <c r="A54" s="2"/>
      <c r="B54" s="9" t="s">
        <v>9</v>
      </c>
      <c r="C54" s="97"/>
      <c r="D54" s="103">
        <v>284593.87700000004</v>
      </c>
      <c r="E54" s="87"/>
      <c r="F54" s="103">
        <f>12892403/1000</f>
        <v>12892.403</v>
      </c>
      <c r="G54" s="83"/>
      <c r="H54" s="18">
        <f t="shared" si="10"/>
        <v>4.5301055440486513</v>
      </c>
      <c r="I54" s="16"/>
      <c r="J54" s="18">
        <f t="shared" si="11"/>
        <v>10.343997199473572</v>
      </c>
      <c r="K54" s="63"/>
      <c r="L54" s="13"/>
    </row>
    <row r="55" spans="1:14" s="129" customFormat="1" x14ac:dyDescent="0.25">
      <c r="A55" s="2"/>
      <c r="B55" s="9" t="s">
        <v>10</v>
      </c>
      <c r="C55" s="97"/>
      <c r="D55" s="103">
        <v>254238.44900000011</v>
      </c>
      <c r="E55" s="97"/>
      <c r="F55" s="103">
        <f>12597108/1000</f>
        <v>12597.108</v>
      </c>
      <c r="G55" s="83"/>
      <c r="H55" s="18">
        <f t="shared" si="10"/>
        <v>4.954839855870893</v>
      </c>
      <c r="I55" s="16"/>
      <c r="J55" s="18">
        <f t="shared" si="11"/>
        <v>10.107072349000115</v>
      </c>
      <c r="K55" s="63"/>
      <c r="L55" s="13"/>
    </row>
    <row r="56" spans="1:14" s="129" customFormat="1" x14ac:dyDescent="0.25">
      <c r="A56" s="2"/>
      <c r="B56" s="9" t="s">
        <v>11</v>
      </c>
      <c r="C56" s="97"/>
      <c r="D56" s="103">
        <v>241175.75599999988</v>
      </c>
      <c r="E56" s="87"/>
      <c r="F56" s="103">
        <f>11555358/1000</f>
        <v>11555.358</v>
      </c>
      <c r="G56" s="83"/>
      <c r="H56" s="18">
        <f t="shared" si="10"/>
        <v>4.7912601961533836</v>
      </c>
      <c r="I56" s="16"/>
      <c r="J56" s="18">
        <f t="shared" si="11"/>
        <v>9.2712422029403303</v>
      </c>
      <c r="K56" s="63"/>
      <c r="L56" s="13"/>
    </row>
    <row r="57" spans="1:14" s="129" customFormat="1" x14ac:dyDescent="0.25">
      <c r="A57" s="2"/>
      <c r="B57" s="9" t="s">
        <v>12</v>
      </c>
      <c r="C57" s="97"/>
      <c r="D57" s="103">
        <v>232107.71400000007</v>
      </c>
      <c r="E57" s="87"/>
      <c r="F57" s="103">
        <f>10350003/1000</f>
        <v>10350.003000000001</v>
      </c>
      <c r="G57" s="83"/>
      <c r="H57" s="18">
        <f t="shared" si="10"/>
        <v>4.4591378811304816</v>
      </c>
      <c r="I57" s="16"/>
      <c r="J57" s="18">
        <f t="shared" si="11"/>
        <v>8.3041464067282931</v>
      </c>
      <c r="K57" s="63"/>
      <c r="L57" s="13"/>
    </row>
    <row r="58" spans="1:14" s="129" customFormat="1" x14ac:dyDescent="0.25">
      <c r="A58" s="2"/>
      <c r="B58" s="9" t="s">
        <v>13</v>
      </c>
      <c r="C58" s="97"/>
      <c r="D58" s="103">
        <v>210872.274</v>
      </c>
      <c r="E58" s="87"/>
      <c r="F58" s="103">
        <f>9034025/1000</f>
        <v>9034.0249999999996</v>
      </c>
      <c r="G58" s="83"/>
      <c r="H58" s="18">
        <f t="shared" si="10"/>
        <v>4.2841217712670936</v>
      </c>
      <c r="I58" s="16"/>
      <c r="J58" s="18">
        <f t="shared" si="11"/>
        <v>7.2482941543150821</v>
      </c>
      <c r="K58" s="63"/>
      <c r="L58" s="13"/>
    </row>
    <row r="59" spans="1:14" s="129" customFormat="1" x14ac:dyDescent="0.25">
      <c r="A59" s="2"/>
      <c r="B59" s="9" t="s">
        <v>14</v>
      </c>
      <c r="C59" s="97"/>
      <c r="D59" s="103">
        <v>180507.27699999983</v>
      </c>
      <c r="E59" s="97"/>
      <c r="F59" s="103">
        <f>7825239/1000</f>
        <v>7825.2389999999996</v>
      </c>
      <c r="G59" s="83"/>
      <c r="H59" s="18">
        <f t="shared" si="10"/>
        <v>4.33513769087548</v>
      </c>
      <c r="I59" s="16"/>
      <c r="J59" s="18">
        <f t="shared" si="11"/>
        <v>6.2784455544254518</v>
      </c>
      <c r="K59" s="63"/>
      <c r="L59" s="13"/>
    </row>
    <row r="60" spans="1:14" s="129" customFormat="1" x14ac:dyDescent="0.25">
      <c r="A60" s="2"/>
      <c r="B60" s="9" t="s">
        <v>15</v>
      </c>
      <c r="C60" s="97"/>
      <c r="D60" s="103">
        <v>156457.128</v>
      </c>
      <c r="E60" s="87"/>
      <c r="F60" s="103">
        <f>6510399/1000</f>
        <v>6510.3990000000003</v>
      </c>
      <c r="G60" s="83"/>
      <c r="H60" s="18">
        <f t="shared" si="10"/>
        <v>4.1611392738846646</v>
      </c>
      <c r="I60" s="16"/>
      <c r="J60" s="18">
        <f t="shared" si="11"/>
        <v>5.223506356685836</v>
      </c>
      <c r="K60" s="63"/>
      <c r="L60" s="13"/>
    </row>
    <row r="61" spans="1:14" s="129" customFormat="1" x14ac:dyDescent="0.25">
      <c r="A61" s="2"/>
      <c r="B61" s="132" t="s">
        <v>75</v>
      </c>
      <c r="C61" s="97"/>
      <c r="D61" s="103">
        <v>124167.41199999991</v>
      </c>
      <c r="E61" s="97"/>
      <c r="F61" s="103">
        <f>5302233/1000</f>
        <v>5302.2330000000002</v>
      </c>
      <c r="G61" s="83"/>
      <c r="H61" s="18">
        <f t="shared" si="10"/>
        <v>4.2702291322621786</v>
      </c>
      <c r="I61" s="16"/>
      <c r="J61" s="18">
        <f t="shared" si="11"/>
        <v>4.2541552031034362</v>
      </c>
      <c r="K61" s="63"/>
      <c r="L61" s="13"/>
    </row>
    <row r="62" spans="1:14" s="129" customFormat="1" x14ac:dyDescent="0.25">
      <c r="A62" s="2"/>
      <c r="B62" s="132" t="s">
        <v>76</v>
      </c>
      <c r="C62" s="97"/>
      <c r="D62" s="103">
        <v>87764.181999999986</v>
      </c>
      <c r="E62" s="97"/>
      <c r="F62" s="103">
        <f>4151654/1000</f>
        <v>4151.6540000000005</v>
      </c>
      <c r="G62" s="83"/>
      <c r="H62" s="18">
        <f t="shared" si="10"/>
        <v>4.730465100215941</v>
      </c>
      <c r="I62" s="16"/>
      <c r="J62" s="18">
        <f t="shared" si="11"/>
        <v>3.3310079858024335</v>
      </c>
      <c r="K62" s="63"/>
      <c r="L62" s="13"/>
    </row>
    <row r="63" spans="1:14" s="129" customFormat="1" x14ac:dyDescent="0.25">
      <c r="A63" s="2"/>
      <c r="B63" s="132" t="s">
        <v>77</v>
      </c>
      <c r="C63" s="97"/>
      <c r="D63" s="103">
        <v>148693.89800000002</v>
      </c>
      <c r="E63" s="97"/>
      <c r="F63" s="103">
        <f>7251260/1000</f>
        <v>7251.26</v>
      </c>
      <c r="G63" s="83"/>
      <c r="H63" s="18">
        <f t="shared" si="10"/>
        <v>4.8766358926174629</v>
      </c>
      <c r="I63" s="16"/>
      <c r="J63" s="18">
        <f t="shared" si="11"/>
        <v>5.8179234028485398</v>
      </c>
      <c r="K63" s="63"/>
      <c r="L63" s="13"/>
    </row>
    <row r="64" spans="1:14" ht="15.75" thickBot="1" x14ac:dyDescent="0.3">
      <c r="B64" s="48"/>
      <c r="C64" s="48"/>
      <c r="D64" s="15"/>
      <c r="E64" s="15"/>
      <c r="F64" s="15"/>
      <c r="G64" s="15"/>
      <c r="H64" s="47"/>
      <c r="I64" s="47"/>
      <c r="J64" s="15"/>
    </row>
    <row r="65" spans="2:10" x14ac:dyDescent="0.25">
      <c r="B65" s="28"/>
      <c r="C65" s="28"/>
      <c r="D65" s="28"/>
      <c r="E65" s="28"/>
      <c r="F65" s="28"/>
      <c r="G65" s="28"/>
      <c r="H65" s="64"/>
      <c r="I65" s="64"/>
      <c r="J65" s="64"/>
    </row>
    <row r="66" spans="2:10" s="129" customFormat="1" x14ac:dyDescent="0.25">
      <c r="B66" s="220" t="s">
        <v>123</v>
      </c>
      <c r="C66" s="28"/>
      <c r="D66" s="28"/>
      <c r="E66" s="28"/>
      <c r="F66" s="28"/>
      <c r="G66" s="28"/>
    </row>
    <row r="67" spans="2:10" ht="24.75" customHeight="1" x14ac:dyDescent="0.25">
      <c r="B67" s="245" t="s">
        <v>124</v>
      </c>
      <c r="C67" s="245"/>
      <c r="D67" s="245"/>
      <c r="E67" s="245"/>
      <c r="F67" s="245"/>
      <c r="G67" s="245"/>
      <c r="H67" s="245"/>
      <c r="I67" s="245"/>
      <c r="J67" s="245"/>
    </row>
    <row r="68" spans="2:10" ht="23.25" customHeight="1" x14ac:dyDescent="0.25">
      <c r="B68" s="247" t="s">
        <v>118</v>
      </c>
      <c r="C68" s="247"/>
      <c r="D68" s="247"/>
      <c r="E68" s="247"/>
      <c r="F68" s="247"/>
      <c r="G68" s="247"/>
      <c r="H68" s="247"/>
      <c r="I68" s="247"/>
      <c r="J68" s="247"/>
    </row>
    <row r="69" spans="2:10" ht="25.5" customHeight="1" x14ac:dyDescent="0.25">
      <c r="B69" s="245" t="s">
        <v>78</v>
      </c>
      <c r="C69" s="245"/>
      <c r="D69" s="245"/>
      <c r="E69" s="245"/>
      <c r="F69" s="245"/>
      <c r="G69" s="245"/>
      <c r="H69" s="245"/>
      <c r="I69" s="245"/>
      <c r="J69" s="245"/>
    </row>
    <row r="70" spans="2:10" x14ac:dyDescent="0.25">
      <c r="B70" s="255"/>
      <c r="C70" s="255"/>
      <c r="D70" s="255"/>
      <c r="E70" s="255"/>
      <c r="F70" s="255"/>
      <c r="G70" s="255"/>
      <c r="H70" s="255"/>
      <c r="I70" s="255"/>
      <c r="J70" s="255"/>
    </row>
    <row r="71" spans="2:10" x14ac:dyDescent="0.25">
      <c r="D71" s="1"/>
      <c r="E71" s="1"/>
      <c r="F71" s="1"/>
      <c r="G71" s="1"/>
    </row>
    <row r="73" spans="2:10" ht="26.25" x14ac:dyDescent="0.25">
      <c r="F73" s="159"/>
      <c r="G73" s="159"/>
      <c r="H73" s="159"/>
      <c r="I73" s="159"/>
      <c r="J73" s="159"/>
    </row>
    <row r="74" spans="2:10" x14ac:dyDescent="0.25">
      <c r="C74" s="2"/>
      <c r="D74" s="2"/>
      <c r="E74" s="2"/>
      <c r="F74" s="2"/>
      <c r="G74" s="2"/>
    </row>
  </sheetData>
  <mergeCells count="11">
    <mergeCell ref="D2:J3"/>
    <mergeCell ref="B4:B5"/>
    <mergeCell ref="D4:D5"/>
    <mergeCell ref="F4:F5"/>
    <mergeCell ref="H4:H5"/>
    <mergeCell ref="J4:J5"/>
    <mergeCell ref="K5:L5"/>
    <mergeCell ref="B68:J68"/>
    <mergeCell ref="B70:J70"/>
    <mergeCell ref="B69:J69"/>
    <mergeCell ref="B67:J67"/>
  </mergeCells>
  <hyperlinks>
    <hyperlink ref="B69" r:id="rId1"/>
  </hyperlinks>
  <pageMargins left="0.7" right="0.7" top="0.75" bottom="0.75" header="0.3" footer="0.3"/>
  <pageSetup orientation="portrait" r:id="rId2"/>
  <ignoredErrors>
    <ignoredError sqref="B14 B32 B50" twoDigitTextYear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2.7109375" style="129" customWidth="1"/>
    <col min="2" max="2" width="6.85546875" style="129" customWidth="1"/>
    <col min="3" max="3" width="23.28515625" style="129" bestFit="1" customWidth="1"/>
    <col min="4" max="4" width="25.5703125" style="129" customWidth="1"/>
    <col min="5" max="6" width="12.7109375" style="129" customWidth="1"/>
    <col min="7" max="16384" width="11.42578125" style="129"/>
  </cols>
  <sheetData>
    <row r="1" spans="1:6" ht="15" customHeight="1" x14ac:dyDescent="0.25">
      <c r="A1" s="131"/>
      <c r="B1" s="131"/>
      <c r="C1" s="199"/>
      <c r="D1" s="236" t="s">
        <v>126</v>
      </c>
      <c r="E1" s="236"/>
      <c r="F1" s="236"/>
    </row>
    <row r="2" spans="1:6" ht="15" customHeight="1" x14ac:dyDescent="0.25">
      <c r="A2" s="131"/>
      <c r="B2" s="131"/>
      <c r="C2" s="199"/>
      <c r="D2" s="236"/>
      <c r="E2" s="236"/>
      <c r="F2" s="236"/>
    </row>
    <row r="3" spans="1:6" ht="15" customHeight="1" x14ac:dyDescent="0.25">
      <c r="A3" s="131"/>
      <c r="B3" s="131"/>
      <c r="C3" s="199"/>
      <c r="D3" s="236"/>
      <c r="E3" s="236"/>
      <c r="F3" s="236"/>
    </row>
    <row r="4" spans="1:6" ht="34.5" customHeight="1" x14ac:dyDescent="0.25">
      <c r="A4" s="131"/>
      <c r="B4" s="131"/>
      <c r="C4" s="200"/>
      <c r="D4" s="259"/>
      <c r="E4" s="259"/>
      <c r="F4" s="259"/>
    </row>
    <row r="5" spans="1:6" s="177" customFormat="1" ht="25.5" x14ac:dyDescent="0.25">
      <c r="B5" s="194" t="s">
        <v>95</v>
      </c>
      <c r="C5" s="194" t="s">
        <v>81</v>
      </c>
      <c r="D5" s="195" t="s">
        <v>79</v>
      </c>
      <c r="E5" s="195" t="s">
        <v>98</v>
      </c>
      <c r="F5" s="196" t="s">
        <v>99</v>
      </c>
    </row>
    <row r="6" spans="1:6" s="178" customFormat="1" ht="15.75" x14ac:dyDescent="0.25">
      <c r="B6" s="197">
        <v>1</v>
      </c>
      <c r="C6" s="193" t="s">
        <v>50</v>
      </c>
      <c r="D6" s="193" t="s">
        <v>80</v>
      </c>
      <c r="E6" s="204">
        <f>12683066/1000</f>
        <v>12683.066000000001</v>
      </c>
      <c r="F6" s="198">
        <f t="shared" ref="F6:F25" si="0">((E6*100))/$E$29</f>
        <v>4.9213453172234454</v>
      </c>
    </row>
    <row r="7" spans="1:6" s="178" customFormat="1" ht="15.75" x14ac:dyDescent="0.25">
      <c r="B7" s="197">
        <v>2</v>
      </c>
      <c r="C7" s="193" t="s">
        <v>28</v>
      </c>
      <c r="D7" s="193" t="s">
        <v>52</v>
      </c>
      <c r="E7" s="204">
        <f>3310419/1000</f>
        <v>3310.4189999999999</v>
      </c>
      <c r="F7" s="198">
        <f t="shared" si="0"/>
        <v>1.2845249755617072</v>
      </c>
    </row>
    <row r="8" spans="1:6" s="178" customFormat="1" ht="15.75" x14ac:dyDescent="0.25">
      <c r="B8" s="197">
        <v>3</v>
      </c>
      <c r="C8" s="193" t="s">
        <v>22</v>
      </c>
      <c r="D8" s="193" t="s">
        <v>29</v>
      </c>
      <c r="E8" s="204">
        <f>3309525/1000</f>
        <v>3309.5250000000001</v>
      </c>
      <c r="F8" s="198">
        <f t="shared" si="0"/>
        <v>1.2841780813080941</v>
      </c>
    </row>
    <row r="9" spans="1:6" s="178" customFormat="1" ht="15.75" x14ac:dyDescent="0.25">
      <c r="B9" s="197">
        <v>4</v>
      </c>
      <c r="C9" s="193" t="s">
        <v>29</v>
      </c>
      <c r="D9" s="193" t="s">
        <v>22</v>
      </c>
      <c r="E9" s="204">
        <f>3272304/1000</f>
        <v>3272.3040000000001</v>
      </c>
      <c r="F9" s="198">
        <f t="shared" si="0"/>
        <v>1.2697354067960815</v>
      </c>
    </row>
    <row r="10" spans="1:6" s="178" customFormat="1" ht="15.75" x14ac:dyDescent="0.25">
      <c r="B10" s="197">
        <v>5</v>
      </c>
      <c r="C10" s="193" t="s">
        <v>129</v>
      </c>
      <c r="D10" s="193" t="s">
        <v>54</v>
      </c>
      <c r="E10" s="204">
        <f>3271533/1000</f>
        <v>3271.5329999999999</v>
      </c>
      <c r="F10" s="198">
        <f t="shared" si="0"/>
        <v>1.2694362396042069</v>
      </c>
    </row>
    <row r="11" spans="1:6" s="178" customFormat="1" ht="15.75" x14ac:dyDescent="0.25">
      <c r="B11" s="197">
        <v>6</v>
      </c>
      <c r="C11" s="193" t="s">
        <v>51</v>
      </c>
      <c r="D11" s="193" t="s">
        <v>28</v>
      </c>
      <c r="E11" s="204">
        <f>3139311/1000</f>
        <v>3139.3110000000001</v>
      </c>
      <c r="F11" s="198">
        <f t="shared" si="0"/>
        <v>1.2181308123097407</v>
      </c>
    </row>
    <row r="12" spans="1:6" s="178" customFormat="1" ht="15.75" x14ac:dyDescent="0.25">
      <c r="B12" s="197">
        <v>7</v>
      </c>
      <c r="C12" s="193" t="s">
        <v>62</v>
      </c>
      <c r="D12" s="193" t="s">
        <v>22</v>
      </c>
      <c r="E12" s="204">
        <f>2562079/1000</f>
        <v>2562.0790000000002</v>
      </c>
      <c r="F12" s="198">
        <f t="shared" si="0"/>
        <v>0.99415042774409035</v>
      </c>
    </row>
    <row r="13" spans="1:6" s="178" customFormat="1" ht="15.75" x14ac:dyDescent="0.25">
      <c r="B13" s="197">
        <v>8</v>
      </c>
      <c r="C13" s="193" t="s">
        <v>61</v>
      </c>
      <c r="D13" s="193" t="s">
        <v>80</v>
      </c>
      <c r="E13" s="204">
        <f>2422998/1000</f>
        <v>2422.998</v>
      </c>
      <c r="F13" s="198">
        <f t="shared" si="0"/>
        <v>0.94018353771412799</v>
      </c>
    </row>
    <row r="14" spans="1:6" s="178" customFormat="1" ht="15.75" x14ac:dyDescent="0.25">
      <c r="B14" s="197">
        <v>9</v>
      </c>
      <c r="C14" s="193" t="s">
        <v>49</v>
      </c>
      <c r="D14" s="193" t="s">
        <v>132</v>
      </c>
      <c r="E14" s="204">
        <f>2324884/1000</f>
        <v>2324.884</v>
      </c>
      <c r="F14" s="198">
        <f t="shared" si="0"/>
        <v>0.90211286344230268</v>
      </c>
    </row>
    <row r="15" spans="1:6" s="178" customFormat="1" ht="15.75" x14ac:dyDescent="0.25">
      <c r="B15" s="197">
        <v>10</v>
      </c>
      <c r="C15" s="193" t="s">
        <v>53</v>
      </c>
      <c r="D15" s="193" t="s">
        <v>80</v>
      </c>
      <c r="E15" s="204">
        <f>2076253/1000</f>
        <v>2076.2530000000002</v>
      </c>
      <c r="F15" s="198">
        <f t="shared" si="0"/>
        <v>0.80563784647348924</v>
      </c>
    </row>
    <row r="16" spans="1:6" s="178" customFormat="1" ht="15.75" x14ac:dyDescent="0.25">
      <c r="B16" s="197">
        <v>11</v>
      </c>
      <c r="C16" s="193" t="s">
        <v>57</v>
      </c>
      <c r="D16" s="193" t="s">
        <v>33</v>
      </c>
      <c r="E16" s="204">
        <f>2046650/1000</f>
        <v>2046.65</v>
      </c>
      <c r="F16" s="198">
        <f t="shared" si="0"/>
        <v>0.79415114559014077</v>
      </c>
    </row>
    <row r="17" spans="2:6" s="178" customFormat="1" ht="15.75" x14ac:dyDescent="0.25">
      <c r="B17" s="197">
        <v>12</v>
      </c>
      <c r="C17" s="193" t="s">
        <v>55</v>
      </c>
      <c r="D17" s="193" t="s">
        <v>23</v>
      </c>
      <c r="E17" s="204">
        <f>1936653/1000</f>
        <v>1936.653</v>
      </c>
      <c r="F17" s="198">
        <f t="shared" si="0"/>
        <v>0.7514695715244829</v>
      </c>
    </row>
    <row r="18" spans="2:6" s="178" customFormat="1" ht="15.75" x14ac:dyDescent="0.25">
      <c r="B18" s="197">
        <v>13</v>
      </c>
      <c r="C18" s="193" t="s">
        <v>87</v>
      </c>
      <c r="D18" s="193" t="s">
        <v>80</v>
      </c>
      <c r="E18" s="204">
        <f>1903730/1000</f>
        <v>1903.73</v>
      </c>
      <c r="F18" s="198">
        <f t="shared" si="0"/>
        <v>0.73869462799908081</v>
      </c>
    </row>
    <row r="19" spans="2:6" s="178" customFormat="1" ht="15.75" x14ac:dyDescent="0.25">
      <c r="B19" s="197">
        <v>14</v>
      </c>
      <c r="C19" s="193" t="s">
        <v>86</v>
      </c>
      <c r="D19" s="193" t="s">
        <v>58</v>
      </c>
      <c r="E19" s="204">
        <f>1835106/1000</f>
        <v>1835.106</v>
      </c>
      <c r="F19" s="198">
        <f t="shared" si="0"/>
        <v>0.71206680779778708</v>
      </c>
    </row>
    <row r="20" spans="2:6" s="178" customFormat="1" ht="15.75" x14ac:dyDescent="0.25">
      <c r="B20" s="197">
        <v>15</v>
      </c>
      <c r="C20" s="193" t="s">
        <v>54</v>
      </c>
      <c r="D20" s="193" t="s">
        <v>23</v>
      </c>
      <c r="E20" s="204">
        <f>1661588/1000</f>
        <v>1661.588</v>
      </c>
      <c r="F20" s="198">
        <f t="shared" si="0"/>
        <v>0.64473750455565471</v>
      </c>
    </row>
    <row r="21" spans="2:6" s="178" customFormat="1" ht="15.75" x14ac:dyDescent="0.25">
      <c r="B21" s="197">
        <v>16</v>
      </c>
      <c r="C21" s="193" t="s">
        <v>60</v>
      </c>
      <c r="D21" s="193" t="s">
        <v>24</v>
      </c>
      <c r="E21" s="204">
        <f>1548032/1000</f>
        <v>1548.0319999999999</v>
      </c>
      <c r="F21" s="198">
        <f t="shared" si="0"/>
        <v>0.60067494989871095</v>
      </c>
    </row>
    <row r="22" spans="2:6" s="178" customFormat="1" ht="15.75" x14ac:dyDescent="0.25">
      <c r="B22" s="197">
        <v>17</v>
      </c>
      <c r="C22" s="193" t="s">
        <v>130</v>
      </c>
      <c r="D22" s="193" t="s">
        <v>26</v>
      </c>
      <c r="E22" s="204">
        <f>1452409/1000</f>
        <v>1452.4090000000001</v>
      </c>
      <c r="F22" s="198">
        <f t="shared" si="0"/>
        <v>0.56357084563331838</v>
      </c>
    </row>
    <row r="23" spans="2:6" s="178" customFormat="1" ht="15.75" x14ac:dyDescent="0.25">
      <c r="B23" s="197">
        <v>18</v>
      </c>
      <c r="C23" s="193" t="s">
        <v>127</v>
      </c>
      <c r="D23" s="193" t="s">
        <v>80</v>
      </c>
      <c r="E23" s="204">
        <f>1409063/1000</f>
        <v>1409.0630000000001</v>
      </c>
      <c r="F23" s="198">
        <f t="shared" si="0"/>
        <v>0.54675151865667349</v>
      </c>
    </row>
    <row r="24" spans="2:6" s="178" customFormat="1" ht="15.75" x14ac:dyDescent="0.25">
      <c r="B24" s="197">
        <v>19</v>
      </c>
      <c r="C24" s="193" t="s">
        <v>128</v>
      </c>
      <c r="D24" s="193" t="s">
        <v>80</v>
      </c>
      <c r="E24" s="204">
        <f>1392663/1000</f>
        <v>1392.663</v>
      </c>
      <c r="F24" s="198">
        <f t="shared" si="0"/>
        <v>0.54038791042484169</v>
      </c>
    </row>
    <row r="25" spans="2:6" s="178" customFormat="1" ht="15.75" x14ac:dyDescent="0.25">
      <c r="B25" s="197">
        <v>20</v>
      </c>
      <c r="C25" s="193" t="s">
        <v>131</v>
      </c>
      <c r="D25" s="193" t="s">
        <v>30</v>
      </c>
      <c r="E25" s="204">
        <f>1351846/1000</f>
        <v>1351.846</v>
      </c>
      <c r="F25" s="198">
        <f t="shared" si="0"/>
        <v>0.52454989840053234</v>
      </c>
    </row>
    <row r="26" spans="2:6" x14ac:dyDescent="0.25">
      <c r="B26" s="179"/>
      <c r="C26" s="180"/>
      <c r="D26" s="181"/>
      <c r="E26" s="182"/>
      <c r="F26" s="182"/>
    </row>
    <row r="27" spans="2:6" ht="15.75" customHeight="1" x14ac:dyDescent="0.25">
      <c r="B27" s="257" t="s">
        <v>20</v>
      </c>
      <c r="C27" s="257"/>
      <c r="D27" s="183"/>
      <c r="E27" s="205">
        <f>SUM(E6:E25)</f>
        <v>54910.112000000008</v>
      </c>
      <c r="F27" s="184">
        <f>((E27*100))/$E$29</f>
        <v>21.306490288658512</v>
      </c>
    </row>
    <row r="28" spans="2:6" x14ac:dyDescent="0.25">
      <c r="B28" s="258" t="s">
        <v>34</v>
      </c>
      <c r="C28" s="258"/>
      <c r="D28" s="185"/>
      <c r="E28" s="206">
        <f>E29-E27</f>
        <v>202805.31299999997</v>
      </c>
      <c r="F28" s="186">
        <f>(E28*100)/E29</f>
        <v>78.693509711341491</v>
      </c>
    </row>
    <row r="29" spans="2:6" x14ac:dyDescent="0.25">
      <c r="B29" s="256" t="s">
        <v>2</v>
      </c>
      <c r="C29" s="256"/>
      <c r="D29" s="187"/>
      <c r="E29" s="188">
        <f>257715425/1000</f>
        <v>257715.42499999999</v>
      </c>
      <c r="F29" s="188">
        <f>SUM(F27:F28)</f>
        <v>100</v>
      </c>
    </row>
    <row r="30" spans="2:6" ht="15.75" x14ac:dyDescent="0.25">
      <c r="B30" s="189"/>
      <c r="C30" s="192"/>
      <c r="D30" s="190"/>
      <c r="E30" s="191"/>
      <c r="F30" s="191"/>
    </row>
    <row r="31" spans="2:6" ht="30" customHeight="1" x14ac:dyDescent="0.25">
      <c r="B31" s="247" t="s">
        <v>118</v>
      </c>
      <c r="C31" s="247"/>
      <c r="D31" s="247"/>
      <c r="E31" s="247"/>
      <c r="F31" s="247"/>
    </row>
    <row r="32" spans="2:6" x14ac:dyDescent="0.25">
      <c r="B32" s="167" t="s">
        <v>78</v>
      </c>
      <c r="C32" s="167"/>
      <c r="D32" s="167"/>
      <c r="E32" s="167"/>
      <c r="F32" s="167"/>
    </row>
    <row r="33" spans="2:6" ht="15.75" x14ac:dyDescent="0.25">
      <c r="B33" s="177"/>
      <c r="C33" s="177"/>
      <c r="D33" s="177"/>
      <c r="E33" s="177"/>
      <c r="F33" s="177"/>
    </row>
  </sheetData>
  <mergeCells count="5">
    <mergeCell ref="B29:C29"/>
    <mergeCell ref="B27:C27"/>
    <mergeCell ref="B28:C28"/>
    <mergeCell ref="B31:F31"/>
    <mergeCell ref="D1:F4"/>
  </mergeCells>
  <hyperlinks>
    <hyperlink ref="B3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1.1. Pob.mun. y tot. mig</vt:lpstr>
      <vt:lpstr>1.2. Tasas crecimiento inmi.</vt:lpstr>
      <vt:lpstr>1.3. Inmig prin.</vt:lpstr>
      <vt:lpstr>1.4. Emig. prin.</vt:lpstr>
      <vt:lpstr>1.5. Sexo y edad</vt:lpstr>
      <vt:lpstr>1.6. Stock migratorio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 Servicio Social 01</dc:creator>
  <cp:lastModifiedBy>Alejandra Reyes</cp:lastModifiedBy>
  <cp:lastPrinted>2018-01-22T17:29:45Z</cp:lastPrinted>
  <dcterms:created xsi:type="dcterms:W3CDTF">2015-07-17T14:22:37Z</dcterms:created>
  <dcterms:modified xsi:type="dcterms:W3CDTF">2018-03-09T19:25:10Z</dcterms:modified>
</cp:coreProperties>
</file>