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apoNuevoCiclo\OMI contingencia\Dic 2020 Act Mig Inter\"/>
    </mc:Choice>
  </mc:AlternateContent>
  <bookViews>
    <workbookView xWindow="-15" yWindow="-15" windowWidth="11520" windowHeight="9690" tabRatio="866"/>
  </bookViews>
  <sheets>
    <sheet name="CONTENIDO" sheetId="25" r:id="rId1"/>
    <sheet name="1.1. Tot. Pob mund y mig" sheetId="17" r:id="rId2"/>
    <sheet name="1.2 Pob migr. Grupos de edad" sheetId="19" r:id="rId3"/>
    <sheet name="1.3 Pob Inmg por país" sheetId="20" r:id="rId4"/>
    <sheet name="1.4.Pob Emig por país" sheetId="21" r:id="rId5"/>
    <sheet name="1.5. Regiones mig.int" sheetId="23" r:id="rId6"/>
    <sheet name="1.6. Stock Corredores" sheetId="18" r:id="rId7"/>
    <sheet name="1.7. Prin. Corredores por Dir." sheetId="2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xlnm._FilterDatabase" localSheetId="3" hidden="1">'1.3 Pob Inmg por país'!$A$7:$S$7</definedName>
    <definedName name="_xlnm._FilterDatabase" localSheetId="4" hidden="1">'1.4.Pob Emig por país'!$B$7:$P$7</definedName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LLBIRR">#REF!</definedName>
    <definedName name="ALLSDR">#REF!</definedName>
    <definedName name="Area_data">OFFSET([1]charts!$B$45,0,0,15,COUNT([1]charts!$C$46:$Z$46)+1)</definedName>
    <definedName name="asdrae" hidden="1">#REF!</definedName>
    <definedName name="asdrra">#REF!</definedName>
    <definedName name="ase">#REF!</definedName>
    <definedName name="aser">#REF!</definedName>
    <definedName name="ASSUM">#REF!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c">#REF!</definedName>
    <definedName name="code">[3]CONSTANT!#REF!</definedName>
    <definedName name="dd">#REF!</definedName>
    <definedName name="DEBT">#REF!</definedName>
    <definedName name="ee">#REF!</definedName>
    <definedName name="gia">[4]Sheet3!$A$4:$B$164</definedName>
    <definedName name="giac">[5]TableData!$A$4:$AI$231</definedName>
    <definedName name="giac1">[5]Sheet1!$A$4:$T$231</definedName>
    <definedName name="giac2">#REF!</definedName>
    <definedName name="GraphCountry">#REF!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IMRData">#REF!</definedName>
    <definedName name="IMRFootnote1">#REF!</definedName>
    <definedName name="IMRFootnote2">#REF!</definedName>
    <definedName name="INTEREST">#REF!</definedName>
    <definedName name="label_year">OFFSET([1]charts!$C$45,0,0,1,[1]charts!$A$45)</definedName>
    <definedName name="LifeExpData">#REF!</definedName>
    <definedName name="LookupTable">#REF!</definedName>
    <definedName name="Lowest_Inter_Bank_Rate">'[2]Inter-Bank'!$M$5</definedName>
    <definedName name="MEDTERM">#REF!</definedName>
    <definedName name="PolicyEM1995">#REF!</definedName>
    <definedName name="PolicyEM2005">#REF!</definedName>
    <definedName name="PolicyIM1995">#REF!</definedName>
    <definedName name="PolicyIM2005">#REF!</definedName>
    <definedName name="regions">#REF!,#REF!,#REF!</definedName>
    <definedName name="Spread_Between_Highest_and_Lowest_Rates">'[2]Inter-Bank'!$N$5</definedName>
    <definedName name="tt">#REF!</definedName>
    <definedName name="ttaa">#REF!</definedName>
    <definedName name="USSR">#REF!</definedName>
    <definedName name="ViewEM2005">#REF!</definedName>
    <definedName name="ViewIM1995">#REF!</definedName>
    <definedName name="Weekly_Depreciation">'[2]Inter-Bank'!$I$5</definedName>
    <definedName name="Weighted_Average_Inter_Bank_Exchange_Rate">'[2]Inter-Bank'!$C$5</definedName>
    <definedName name="zzrr">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H7" i="20" l="1"/>
  <c r="G7" i="20" l="1"/>
  <c r="I7" i="21"/>
  <c r="H7" i="21"/>
  <c r="J34" i="23" l="1"/>
  <c r="I34" i="23"/>
  <c r="H34" i="23"/>
  <c r="G34" i="23"/>
  <c r="F34" i="23"/>
  <c r="E34" i="23"/>
  <c r="D34" i="23"/>
  <c r="C34" i="23"/>
  <c r="K33" i="23"/>
  <c r="K32" i="23"/>
  <c r="K31" i="23"/>
  <c r="K30" i="23"/>
  <c r="K29" i="23"/>
  <c r="K28" i="23"/>
  <c r="K27" i="23"/>
  <c r="K26" i="23"/>
  <c r="K25" i="23"/>
  <c r="D18" i="23"/>
  <c r="J17" i="23"/>
  <c r="D17" i="23"/>
  <c r="J16" i="23"/>
  <c r="D16" i="23"/>
  <c r="J15" i="23"/>
  <c r="D15" i="23"/>
  <c r="J14" i="23"/>
  <c r="D14" i="23"/>
  <c r="J13" i="23"/>
  <c r="D13" i="23"/>
  <c r="J12" i="23"/>
  <c r="D12" i="23"/>
  <c r="J11" i="23"/>
  <c r="D11" i="23"/>
  <c r="J10" i="23"/>
  <c r="D10" i="23"/>
  <c r="J9" i="23"/>
  <c r="D9" i="23"/>
  <c r="J8" i="23"/>
  <c r="D8" i="23"/>
  <c r="D19" i="23" l="1"/>
  <c r="K34" i="23"/>
  <c r="J18" i="23"/>
  <c r="D7" i="21"/>
  <c r="F7" i="21"/>
  <c r="K10" i="21" s="1"/>
  <c r="K132" i="21"/>
  <c r="K169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10" i="21"/>
  <c r="J9" i="21"/>
  <c r="J8" i="21"/>
  <c r="I56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I190" i="20"/>
  <c r="I191" i="20"/>
  <c r="I192" i="20"/>
  <c r="I193" i="20"/>
  <c r="I194" i="20"/>
  <c r="I195" i="20"/>
  <c r="I196" i="20"/>
  <c r="I197" i="20"/>
  <c r="I198" i="20"/>
  <c r="I199" i="20"/>
  <c r="I200" i="20"/>
  <c r="I201" i="20"/>
  <c r="I202" i="20"/>
  <c r="I203" i="20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33" i="20"/>
  <c r="I234" i="20"/>
  <c r="I235" i="20"/>
  <c r="I236" i="20"/>
  <c r="I237" i="20"/>
  <c r="I238" i="20"/>
  <c r="I239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8" i="20"/>
  <c r="D7" i="20"/>
  <c r="K93" i="21" l="1"/>
  <c r="K206" i="21"/>
  <c r="K56" i="21"/>
  <c r="K235" i="21"/>
  <c r="K197" i="21"/>
  <c r="K160" i="21"/>
  <c r="K121" i="21"/>
  <c r="K46" i="21"/>
  <c r="K227" i="21"/>
  <c r="K189" i="21"/>
  <c r="K149" i="21"/>
  <c r="K112" i="21"/>
  <c r="K75" i="21"/>
  <c r="K36" i="21"/>
  <c r="K217" i="21"/>
  <c r="K179" i="21"/>
  <c r="K141" i="21"/>
  <c r="K104" i="21"/>
  <c r="K64" i="21"/>
  <c r="K27" i="21"/>
  <c r="K84" i="21"/>
  <c r="K19" i="21"/>
  <c r="K240" i="21"/>
  <c r="K221" i="21"/>
  <c r="K203" i="21"/>
  <c r="K184" i="21"/>
  <c r="K164" i="21"/>
  <c r="K147" i="21"/>
  <c r="K126" i="21"/>
  <c r="K107" i="21"/>
  <c r="K89" i="21"/>
  <c r="K69" i="21"/>
  <c r="K51" i="21"/>
  <c r="K32" i="21"/>
  <c r="K13" i="21"/>
  <c r="K232" i="21"/>
  <c r="K212" i="21"/>
  <c r="K192" i="21"/>
  <c r="K174" i="21"/>
  <c r="K155" i="21"/>
  <c r="K136" i="21"/>
  <c r="K117" i="21"/>
  <c r="K99" i="21"/>
  <c r="K78" i="21"/>
  <c r="K61" i="21"/>
  <c r="K41" i="21"/>
  <c r="K21" i="21"/>
  <c r="K238" i="21"/>
  <c r="K228" i="21"/>
  <c r="K219" i="21"/>
  <c r="K211" i="21"/>
  <c r="K200" i="21"/>
  <c r="K190" i="21"/>
  <c r="K181" i="21"/>
  <c r="K171" i="21"/>
  <c r="K163" i="21"/>
  <c r="K153" i="21"/>
  <c r="K142" i="21"/>
  <c r="K133" i="21"/>
  <c r="K125" i="21"/>
  <c r="K115" i="21"/>
  <c r="K105" i="21"/>
  <c r="K96" i="21"/>
  <c r="K85" i="21"/>
  <c r="K77" i="21"/>
  <c r="K68" i="21"/>
  <c r="K57" i="21"/>
  <c r="K48" i="21"/>
  <c r="K40" i="21"/>
  <c r="K29" i="21"/>
  <c r="K20" i="21"/>
  <c r="K11" i="21"/>
  <c r="K233" i="21"/>
  <c r="K224" i="21"/>
  <c r="K213" i="21"/>
  <c r="K205" i="21"/>
  <c r="K196" i="21"/>
  <c r="K185" i="21"/>
  <c r="K176" i="21"/>
  <c r="K168" i="21"/>
  <c r="K157" i="21"/>
  <c r="K148" i="21"/>
  <c r="K139" i="21"/>
  <c r="K128" i="21"/>
  <c r="K120" i="21"/>
  <c r="K110" i="21"/>
  <c r="K100" i="21"/>
  <c r="K91" i="21"/>
  <c r="K83" i="21"/>
  <c r="K72" i="21"/>
  <c r="K62" i="21"/>
  <c r="K53" i="21"/>
  <c r="K43" i="21"/>
  <c r="K35" i="21"/>
  <c r="K25" i="21"/>
  <c r="K14" i="21"/>
  <c r="K237" i="21"/>
  <c r="K229" i="21"/>
  <c r="K222" i="21"/>
  <c r="K216" i="21"/>
  <c r="K208" i="21"/>
  <c r="K201" i="21"/>
  <c r="K195" i="21"/>
  <c r="K187" i="21"/>
  <c r="K180" i="21"/>
  <c r="K173" i="21"/>
  <c r="K165" i="21"/>
  <c r="K158" i="21"/>
  <c r="K152" i="21"/>
  <c r="K144" i="21"/>
  <c r="K137" i="21"/>
  <c r="K131" i="21"/>
  <c r="K123" i="21"/>
  <c r="K116" i="21"/>
  <c r="K109" i="21"/>
  <c r="K101" i="21"/>
  <c r="K94" i="21"/>
  <c r="K88" i="21"/>
  <c r="K80" i="21"/>
  <c r="K73" i="21"/>
  <c r="K67" i="21"/>
  <c r="K59" i="21"/>
  <c r="K52" i="21"/>
  <c r="K45" i="21"/>
  <c r="K37" i="21"/>
  <c r="K30" i="21"/>
  <c r="K24" i="21"/>
  <c r="K16" i="21"/>
  <c r="K9" i="21"/>
  <c r="K241" i="21"/>
  <c r="K236" i="21"/>
  <c r="K230" i="21"/>
  <c r="K225" i="21"/>
  <c r="K220" i="21"/>
  <c r="K214" i="21"/>
  <c r="K209" i="21"/>
  <c r="K204" i="21"/>
  <c r="K198" i="21"/>
  <c r="K193" i="21"/>
  <c r="K188" i="21"/>
  <c r="K182" i="21"/>
  <c r="K177" i="21"/>
  <c r="K172" i="21"/>
  <c r="K166" i="21"/>
  <c r="K161" i="21"/>
  <c r="K156" i="21"/>
  <c r="K150" i="21"/>
  <c r="K145" i="21"/>
  <c r="K140" i="21"/>
  <c r="K134" i="21"/>
  <c r="K129" i="21"/>
  <c r="K124" i="21"/>
  <c r="K118" i="21"/>
  <c r="K113" i="21"/>
  <c r="K108" i="21"/>
  <c r="K102" i="21"/>
  <c r="K97" i="21"/>
  <c r="K92" i="21"/>
  <c r="K86" i="21"/>
  <c r="K81" i="21"/>
  <c r="K76" i="21"/>
  <c r="K70" i="21"/>
  <c r="K65" i="21"/>
  <c r="K60" i="21"/>
  <c r="K54" i="21"/>
  <c r="K49" i="21"/>
  <c r="K44" i="21"/>
  <c r="K38" i="21"/>
  <c r="K33" i="21"/>
  <c r="K28" i="21"/>
  <c r="K22" i="21"/>
  <c r="K17" i="21"/>
  <c r="K12" i="21"/>
  <c r="J7" i="21"/>
  <c r="K239" i="21"/>
  <c r="K231" i="21"/>
  <c r="K223" i="21"/>
  <c r="K215" i="21"/>
  <c r="K207" i="21"/>
  <c r="K199" i="21"/>
  <c r="K191" i="21"/>
  <c r="K183" i="21"/>
  <c r="K175" i="21"/>
  <c r="K167" i="21"/>
  <c r="K159" i="21"/>
  <c r="K151" i="21"/>
  <c r="K143" i="21"/>
  <c r="K135" i="21"/>
  <c r="K127" i="21"/>
  <c r="K119" i="21"/>
  <c r="K111" i="21"/>
  <c r="K103" i="21"/>
  <c r="K95" i="21"/>
  <c r="K87" i="21"/>
  <c r="K79" i="21"/>
  <c r="K71" i="21"/>
  <c r="K63" i="21"/>
  <c r="K55" i="21"/>
  <c r="K47" i="21"/>
  <c r="K39" i="21"/>
  <c r="K31" i="21"/>
  <c r="K23" i="21"/>
  <c r="K15" i="21"/>
  <c r="K8" i="21"/>
  <c r="K234" i="21"/>
  <c r="K226" i="21"/>
  <c r="K218" i="21"/>
  <c r="K210" i="21"/>
  <c r="K202" i="21"/>
  <c r="K194" i="21"/>
  <c r="K186" i="21"/>
  <c r="K178" i="21"/>
  <c r="K170" i="21"/>
  <c r="K162" i="21"/>
  <c r="K154" i="21"/>
  <c r="K146" i="21"/>
  <c r="K138" i="21"/>
  <c r="K130" i="21"/>
  <c r="K122" i="21"/>
  <c r="K114" i="21"/>
  <c r="K106" i="21"/>
  <c r="K98" i="21"/>
  <c r="K90" i="21"/>
  <c r="K82" i="21"/>
  <c r="K74" i="21"/>
  <c r="K66" i="21"/>
  <c r="K58" i="21"/>
  <c r="K50" i="21"/>
  <c r="K42" i="21"/>
  <c r="K34" i="21"/>
  <c r="K26" i="21"/>
  <c r="K18" i="21"/>
  <c r="K7" i="21" l="1"/>
  <c r="F7" i="20"/>
  <c r="J56" i="20" s="1"/>
  <c r="K11" i="17"/>
  <c r="J35" i="20" l="1"/>
  <c r="J43" i="20"/>
  <c r="J51" i="20"/>
  <c r="J59" i="20"/>
  <c r="J67" i="20"/>
  <c r="J75" i="20"/>
  <c r="J83" i="20"/>
  <c r="J91" i="20"/>
  <c r="J99" i="20"/>
  <c r="J107" i="20"/>
  <c r="J115" i="20"/>
  <c r="J123" i="20"/>
  <c r="J131" i="20"/>
  <c r="J139" i="20"/>
  <c r="J147" i="20"/>
  <c r="J155" i="20"/>
  <c r="J163" i="20"/>
  <c r="J171" i="20"/>
  <c r="J179" i="20"/>
  <c r="J187" i="20"/>
  <c r="J195" i="20"/>
  <c r="J203" i="20"/>
  <c r="J211" i="20"/>
  <c r="J219" i="20"/>
  <c r="J227" i="20"/>
  <c r="J235" i="20"/>
  <c r="J12" i="20"/>
  <c r="J20" i="20"/>
  <c r="J8" i="20"/>
  <c r="J28" i="20"/>
  <c r="J36" i="20"/>
  <c r="J44" i="20"/>
  <c r="J52" i="20"/>
  <c r="J60" i="20"/>
  <c r="J68" i="20"/>
  <c r="J76" i="20"/>
  <c r="J84" i="20"/>
  <c r="J92" i="20"/>
  <c r="J100" i="20"/>
  <c r="J108" i="20"/>
  <c r="J116" i="20"/>
  <c r="J124" i="20"/>
  <c r="J132" i="20"/>
  <c r="J140" i="20"/>
  <c r="J148" i="20"/>
  <c r="J156" i="20"/>
  <c r="J164" i="20"/>
  <c r="J172" i="20"/>
  <c r="J180" i="20"/>
  <c r="J188" i="20"/>
  <c r="J196" i="20"/>
  <c r="J204" i="20"/>
  <c r="J212" i="20"/>
  <c r="J220" i="20"/>
  <c r="J228" i="20"/>
  <c r="J236" i="20"/>
  <c r="J13" i="20"/>
  <c r="J21" i="20"/>
  <c r="I7" i="20"/>
  <c r="J32" i="20"/>
  <c r="J88" i="20"/>
  <c r="J112" i="20"/>
  <c r="J128" i="20"/>
  <c r="J144" i="20"/>
  <c r="J168" i="20"/>
  <c r="J184" i="20"/>
  <c r="J208" i="20"/>
  <c r="J232" i="20"/>
  <c r="J25" i="20"/>
  <c r="J49" i="20"/>
  <c r="J89" i="20"/>
  <c r="J105" i="20"/>
  <c r="J129" i="20"/>
  <c r="J153" i="20"/>
  <c r="J177" i="20"/>
  <c r="J201" i="20"/>
  <c r="J225" i="20"/>
  <c r="J18" i="20"/>
  <c r="J50" i="20"/>
  <c r="J58" i="20"/>
  <c r="J66" i="20"/>
  <c r="J74" i="20"/>
  <c r="J82" i="20"/>
  <c r="J90" i="20"/>
  <c r="J29" i="20"/>
  <c r="J37" i="20"/>
  <c r="J45" i="20"/>
  <c r="J53" i="20"/>
  <c r="J61" i="20"/>
  <c r="J69" i="20"/>
  <c r="J77" i="20"/>
  <c r="J85" i="20"/>
  <c r="J93" i="20"/>
  <c r="J101" i="20"/>
  <c r="J109" i="20"/>
  <c r="J117" i="20"/>
  <c r="J125" i="20"/>
  <c r="J133" i="20"/>
  <c r="J141" i="20"/>
  <c r="J149" i="20"/>
  <c r="J157" i="20"/>
  <c r="J165" i="20"/>
  <c r="J173" i="20"/>
  <c r="J181" i="20"/>
  <c r="J189" i="20"/>
  <c r="J197" i="20"/>
  <c r="J205" i="20"/>
  <c r="J213" i="20"/>
  <c r="J221" i="20"/>
  <c r="J229" i="20"/>
  <c r="J237" i="20"/>
  <c r="J14" i="20"/>
  <c r="J22" i="20"/>
  <c r="J39" i="20"/>
  <c r="J119" i="20"/>
  <c r="J143" i="20"/>
  <c r="J159" i="20"/>
  <c r="J175" i="20"/>
  <c r="J191" i="20"/>
  <c r="J207" i="20"/>
  <c r="J215" i="20"/>
  <c r="J231" i="20"/>
  <c r="J16" i="20"/>
  <c r="J40" i="20"/>
  <c r="J64" i="20"/>
  <c r="J72" i="20"/>
  <c r="J80" i="20"/>
  <c r="J96" i="20"/>
  <c r="J104" i="20"/>
  <c r="J120" i="20"/>
  <c r="J136" i="20"/>
  <c r="J152" i="20"/>
  <c r="J176" i="20"/>
  <c r="J192" i="20"/>
  <c r="J216" i="20"/>
  <c r="J9" i="20"/>
  <c r="J41" i="20"/>
  <c r="J81" i="20"/>
  <c r="J113" i="20"/>
  <c r="J137" i="20"/>
  <c r="J161" i="20"/>
  <c r="J185" i="20"/>
  <c r="J209" i="20"/>
  <c r="J233" i="20"/>
  <c r="J26" i="20"/>
  <c r="J30" i="20"/>
  <c r="J38" i="20"/>
  <c r="J46" i="20"/>
  <c r="J54" i="20"/>
  <c r="J62" i="20"/>
  <c r="J70" i="20"/>
  <c r="J78" i="20"/>
  <c r="J86" i="20"/>
  <c r="J94" i="20"/>
  <c r="J102" i="20"/>
  <c r="J110" i="20"/>
  <c r="J118" i="20"/>
  <c r="J126" i="20"/>
  <c r="J134" i="20"/>
  <c r="J142" i="20"/>
  <c r="J150" i="20"/>
  <c r="J158" i="20"/>
  <c r="J166" i="20"/>
  <c r="J174" i="20"/>
  <c r="J182" i="20"/>
  <c r="J190" i="20"/>
  <c r="J198" i="20"/>
  <c r="J206" i="20"/>
  <c r="J214" i="20"/>
  <c r="J222" i="20"/>
  <c r="J230" i="20"/>
  <c r="J238" i="20"/>
  <c r="J15" i="20"/>
  <c r="J23" i="20"/>
  <c r="J31" i="20"/>
  <c r="J47" i="20"/>
  <c r="J55" i="20"/>
  <c r="J63" i="20"/>
  <c r="J71" i="20"/>
  <c r="J79" i="20"/>
  <c r="J87" i="20"/>
  <c r="J95" i="20"/>
  <c r="J103" i="20"/>
  <c r="J111" i="20"/>
  <c r="J127" i="20"/>
  <c r="J135" i="20"/>
  <c r="J151" i="20"/>
  <c r="J167" i="20"/>
  <c r="J183" i="20"/>
  <c r="J199" i="20"/>
  <c r="J223" i="20"/>
  <c r="J239" i="20"/>
  <c r="J24" i="20"/>
  <c r="J48" i="20"/>
  <c r="J160" i="20"/>
  <c r="J200" i="20"/>
  <c r="J224" i="20"/>
  <c r="J17" i="20"/>
  <c r="J33" i="20"/>
  <c r="J57" i="20"/>
  <c r="J65" i="20"/>
  <c r="J73" i="20"/>
  <c r="J97" i="20"/>
  <c r="J121" i="20"/>
  <c r="J145" i="20"/>
  <c r="J169" i="20"/>
  <c r="J193" i="20"/>
  <c r="J217" i="20"/>
  <c r="J10" i="20"/>
  <c r="J34" i="20"/>
  <c r="J146" i="20"/>
  <c r="J210" i="20"/>
  <c r="J154" i="20"/>
  <c r="J218" i="20"/>
  <c r="J186" i="20"/>
  <c r="J27" i="20"/>
  <c r="J42" i="20"/>
  <c r="J194" i="20"/>
  <c r="J138" i="20"/>
  <c r="J98" i="20"/>
  <c r="J162" i="20"/>
  <c r="J226" i="20"/>
  <c r="J106" i="20"/>
  <c r="J170" i="20"/>
  <c r="J234" i="20"/>
  <c r="J114" i="20"/>
  <c r="J178" i="20"/>
  <c r="J11" i="20"/>
  <c r="J122" i="20"/>
  <c r="J19" i="20"/>
  <c r="J130" i="20"/>
  <c r="J202" i="20"/>
  <c r="J7" i="20" l="1"/>
  <c r="Q12" i="17"/>
  <c r="Q13" i="17"/>
  <c r="Q14" i="17"/>
  <c r="Q15" i="17"/>
  <c r="Q11" i="17"/>
  <c r="P12" i="17"/>
  <c r="P13" i="17"/>
  <c r="P14" i="17"/>
  <c r="P15" i="17"/>
  <c r="P11" i="17"/>
  <c r="K22" i="17"/>
  <c r="K12" i="17"/>
  <c r="K13" i="17"/>
  <c r="K14" i="17"/>
  <c r="K15" i="17"/>
  <c r="K16" i="17"/>
  <c r="K17" i="17"/>
  <c r="K18" i="17"/>
  <c r="K19" i="17"/>
  <c r="K20" i="17"/>
  <c r="K21" i="17"/>
  <c r="F12" i="22" l="1"/>
  <c r="F33" i="22" l="1"/>
  <c r="F32" i="22"/>
  <c r="F31" i="22"/>
  <c r="F30" i="22"/>
  <c r="F29" i="22"/>
  <c r="F26" i="22"/>
  <c r="F24" i="22"/>
  <c r="F23" i="22"/>
  <c r="F22" i="22"/>
  <c r="F19" i="22"/>
  <c r="F18" i="22"/>
  <c r="F35" i="22" l="1"/>
  <c r="G31" i="22" s="1"/>
  <c r="G30" i="22"/>
  <c r="F28" i="22"/>
  <c r="G25" i="22" s="1"/>
  <c r="F17" i="22"/>
  <c r="F16" i="22"/>
  <c r="F15" i="22"/>
  <c r="F11" i="22"/>
  <c r="F10" i="22"/>
  <c r="F9" i="22"/>
  <c r="F8" i="22"/>
  <c r="G29" i="22" l="1"/>
  <c r="G33" i="22"/>
  <c r="G32" i="22"/>
  <c r="G22" i="22"/>
  <c r="G23" i="22"/>
  <c r="G26" i="22"/>
  <c r="G24" i="22"/>
  <c r="F21" i="22"/>
  <c r="G19" i="22" s="1"/>
  <c r="F14" i="22"/>
  <c r="G34" i="22"/>
  <c r="G27" i="22"/>
  <c r="G35" i="22" l="1"/>
  <c r="G9" i="22"/>
  <c r="F7" i="22"/>
  <c r="G28" i="22"/>
  <c r="G16" i="22"/>
  <c r="G17" i="22"/>
  <c r="G18" i="22"/>
  <c r="G15" i="22"/>
  <c r="G11" i="22"/>
  <c r="G10" i="22"/>
  <c r="G13" i="22"/>
  <c r="G14" i="22"/>
  <c r="G12" i="22"/>
  <c r="G8" i="22"/>
  <c r="G20" i="22"/>
  <c r="G21" i="22" l="1"/>
  <c r="I22" i="17" l="1"/>
  <c r="I21" i="17"/>
  <c r="Q21" i="17" s="1"/>
  <c r="I20" i="17"/>
  <c r="I19" i="17"/>
  <c r="I18" i="17"/>
  <c r="I17" i="17"/>
  <c r="I16" i="17"/>
  <c r="Q16" i="17" s="1"/>
  <c r="H22" i="17"/>
  <c r="H21" i="17"/>
  <c r="H20" i="17"/>
  <c r="H19" i="17"/>
  <c r="H18" i="17"/>
  <c r="H17" i="17"/>
  <c r="H16" i="17"/>
  <c r="P16" i="17" s="1"/>
  <c r="Q17" i="17" l="1"/>
  <c r="Q20" i="17"/>
  <c r="P17" i="17"/>
  <c r="Q19" i="17"/>
  <c r="P19" i="17"/>
  <c r="P20" i="17"/>
  <c r="P21" i="17"/>
  <c r="P22" i="17"/>
  <c r="Q18" i="17"/>
  <c r="P18" i="17"/>
  <c r="Q22" i="17"/>
  <c r="E21" i="17"/>
  <c r="E20" i="17"/>
  <c r="E19" i="17"/>
  <c r="E18" i="17"/>
  <c r="E17" i="17"/>
  <c r="E16" i="17"/>
  <c r="F16" i="17"/>
  <c r="F17" i="17"/>
  <c r="F18" i="17"/>
  <c r="F19" i="17"/>
  <c r="N19" i="17" s="1"/>
  <c r="F20" i="17"/>
  <c r="N20" i="17" s="1"/>
  <c r="F21" i="17"/>
  <c r="N21" i="17" s="1"/>
  <c r="D20" i="17"/>
  <c r="D19" i="17"/>
  <c r="D18" i="17"/>
  <c r="D17" i="17"/>
  <c r="D16" i="17"/>
  <c r="D21" i="17"/>
  <c r="L21" i="17" l="1"/>
  <c r="M18" i="17"/>
  <c r="L17" i="17"/>
  <c r="L18" i="17"/>
  <c r="M19" i="17"/>
  <c r="N17" i="17"/>
  <c r="L19" i="17"/>
  <c r="L20" i="17"/>
  <c r="M17" i="17"/>
  <c r="M20" i="17"/>
  <c r="N18" i="17"/>
  <c r="M21" i="17"/>
  <c r="F22" i="17" l="1"/>
  <c r="N22" i="17" s="1"/>
  <c r="E22" i="17"/>
  <c r="M22" i="17" s="1"/>
  <c r="D22" i="17"/>
  <c r="L22" i="17" s="1"/>
  <c r="F8" i="19" l="1"/>
  <c r="H8" i="19" s="1"/>
  <c r="F9" i="19" l="1"/>
  <c r="F10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H12" i="19" s="1"/>
  <c r="D28" i="19"/>
  <c r="D45" i="19"/>
  <c r="D11" i="19"/>
  <c r="H60" i="19" l="1"/>
  <c r="H53" i="19"/>
  <c r="H61" i="19"/>
  <c r="H49" i="19"/>
  <c r="H54" i="19"/>
  <c r="H48" i="19"/>
  <c r="H56" i="19"/>
  <c r="H57" i="19"/>
  <c r="H52" i="19"/>
  <c r="F45" i="19"/>
  <c r="H45" i="19" s="1"/>
  <c r="H47" i="19"/>
  <c r="H30" i="19"/>
  <c r="H34" i="19"/>
  <c r="H42" i="19"/>
  <c r="H35" i="19"/>
  <c r="H43" i="19"/>
  <c r="H38" i="19"/>
  <c r="H31" i="19"/>
  <c r="H39" i="19"/>
  <c r="H36" i="19"/>
  <c r="H44" i="19"/>
  <c r="H29" i="19"/>
  <c r="H32" i="19"/>
  <c r="J24" i="19"/>
  <c r="H24" i="19"/>
  <c r="H51" i="19"/>
  <c r="J18" i="19"/>
  <c r="H18" i="19"/>
  <c r="J13" i="19"/>
  <c r="H13" i="19"/>
  <c r="J14" i="19"/>
  <c r="H14" i="19"/>
  <c r="J22" i="19"/>
  <c r="H22" i="19"/>
  <c r="J23" i="19"/>
  <c r="H23" i="19"/>
  <c r="H40" i="19"/>
  <c r="J16" i="19"/>
  <c r="H16" i="19"/>
  <c r="H58" i="19"/>
  <c r="H41" i="19"/>
  <c r="H25" i="19"/>
  <c r="J25" i="19"/>
  <c r="H59" i="19"/>
  <c r="J26" i="19"/>
  <c r="H26" i="19"/>
  <c r="J19" i="19"/>
  <c r="H19" i="19"/>
  <c r="H27" i="19"/>
  <c r="J27" i="19"/>
  <c r="J12" i="19"/>
  <c r="J20" i="19"/>
  <c r="H20" i="19"/>
  <c r="H46" i="19"/>
  <c r="H37" i="19"/>
  <c r="J15" i="19"/>
  <c r="H15" i="19"/>
  <c r="H50" i="19"/>
  <c r="H33" i="19"/>
  <c r="J17" i="19"/>
  <c r="H17" i="19"/>
  <c r="J21" i="19"/>
  <c r="H21" i="19"/>
  <c r="H55" i="19"/>
  <c r="H10" i="19"/>
  <c r="J10" i="19"/>
  <c r="F28" i="19"/>
  <c r="H28" i="19" s="1"/>
  <c r="J9" i="19"/>
  <c r="H9" i="19"/>
  <c r="F11" i="19"/>
  <c r="H11" i="19" s="1"/>
  <c r="J41" i="19" l="1"/>
  <c r="J54" i="19"/>
  <c r="J38" i="19"/>
  <c r="J52" i="19"/>
  <c r="J34" i="19"/>
  <c r="J44" i="19"/>
  <c r="J46" i="19"/>
  <c r="J32" i="19"/>
  <c r="J31" i="19"/>
  <c r="J50" i="19"/>
  <c r="J61" i="19"/>
  <c r="J36" i="19"/>
  <c r="J43" i="19"/>
  <c r="J48" i="19"/>
  <c r="J53" i="19"/>
  <c r="J33" i="19"/>
  <c r="J55" i="19"/>
  <c r="J57" i="19"/>
  <c r="J59" i="19"/>
  <c r="J60" i="19"/>
  <c r="J47" i="19"/>
  <c r="J58" i="19"/>
  <c r="J37" i="19"/>
  <c r="J42" i="19"/>
  <c r="J56" i="19"/>
  <c r="J49" i="19"/>
  <c r="J51" i="19"/>
  <c r="J40" i="19"/>
  <c r="J29" i="19"/>
  <c r="J39" i="19"/>
  <c r="J35" i="19"/>
  <c r="J30" i="19"/>
  <c r="J8" i="19"/>
  <c r="J11" i="19"/>
  <c r="J45" i="19" l="1"/>
  <c r="J28" i="19"/>
  <c r="D15" i="17" l="1"/>
  <c r="L16" i="17" l="1"/>
  <c r="E15" i="17" l="1"/>
  <c r="F15" i="17"/>
  <c r="E14" i="17"/>
  <c r="F14" i="17"/>
  <c r="D14" i="17"/>
  <c r="E13" i="17"/>
  <c r="M13" i="17" s="1"/>
  <c r="F13" i="17"/>
  <c r="N13" i="17" s="1"/>
  <c r="D13" i="17"/>
  <c r="L13" i="17" s="1"/>
  <c r="E12" i="17"/>
  <c r="F12" i="17"/>
  <c r="D12" i="17"/>
  <c r="E11" i="17"/>
  <c r="F11" i="17"/>
  <c r="D11" i="17"/>
  <c r="L11" i="17" s="1"/>
  <c r="E10" i="17"/>
  <c r="F10" i="17"/>
  <c r="D10" i="17"/>
  <c r="E7" i="18"/>
  <c r="F47" i="18" s="1"/>
  <c r="N14" i="17" l="1"/>
  <c r="N11" i="17"/>
  <c r="M11" i="17"/>
  <c r="L12" i="17"/>
  <c r="M14" i="17"/>
  <c r="L14" i="17"/>
  <c r="L15" i="17"/>
  <c r="N12" i="17"/>
  <c r="N15" i="17"/>
  <c r="N16" i="17"/>
  <c r="M12" i="17"/>
  <c r="M15" i="17"/>
  <c r="M16" i="17"/>
  <c r="F45" i="18"/>
  <c r="F52" i="18"/>
  <c r="F8" i="18"/>
  <c r="F32" i="18"/>
  <c r="F13" i="18"/>
  <c r="F51" i="18"/>
  <c r="F9" i="18"/>
  <c r="F25" i="18"/>
  <c r="F11" i="18"/>
  <c r="F48" i="18"/>
  <c r="F10" i="18"/>
  <c r="F49" i="18"/>
  <c r="F20" i="18"/>
  <c r="F41" i="18"/>
  <c r="F28" i="18"/>
  <c r="F19" i="18"/>
  <c r="F35" i="18"/>
  <c r="F17" i="18"/>
  <c r="F12" i="18"/>
  <c r="F31" i="18"/>
  <c r="F44" i="18"/>
  <c r="F18" i="18"/>
  <c r="F29" i="18"/>
  <c r="F46" i="18"/>
  <c r="F34" i="18"/>
  <c r="F30" i="18"/>
  <c r="F33" i="18"/>
  <c r="F42" i="18"/>
  <c r="F26" i="18"/>
  <c r="F23" i="18"/>
  <c r="F21" i="18"/>
  <c r="F16" i="18"/>
  <c r="F36" i="18"/>
  <c r="F39" i="18"/>
  <c r="F15" i="18"/>
  <c r="F37" i="18"/>
  <c r="F27" i="18"/>
  <c r="F38" i="18"/>
  <c r="F50" i="18"/>
  <c r="F22" i="18"/>
  <c r="F43" i="18"/>
  <c r="F14" i="18"/>
  <c r="F40" i="18"/>
  <c r="F24" i="18"/>
  <c r="F7" i="18" l="1"/>
</calcChain>
</file>

<file path=xl/sharedStrings.xml><?xml version="1.0" encoding="utf-8"?>
<sst xmlns="http://schemas.openxmlformats.org/spreadsheetml/2006/main" count="883" uniqueCount="364">
  <si>
    <t>Hombres</t>
  </si>
  <si>
    <t>Mujeres</t>
  </si>
  <si>
    <t>Total</t>
  </si>
  <si>
    <t xml:space="preserve">   0-4</t>
  </si>
  <si>
    <t xml:space="preserve">   5-9</t>
  </si>
  <si>
    <t xml:space="preserve">   10-14</t>
  </si>
  <si>
    <t xml:space="preserve">   15-19</t>
  </si>
  <si>
    <t xml:space="preserve">   20-24</t>
  </si>
  <si>
    <t xml:space="preserve">   25-29</t>
  </si>
  <si>
    <t xml:space="preserve">   30-34</t>
  </si>
  <si>
    <t xml:space="preserve">   35-39</t>
  </si>
  <si>
    <t xml:space="preserve">   40-44</t>
  </si>
  <si>
    <t xml:space="preserve">   45-49</t>
  </si>
  <si>
    <t xml:space="preserve">   50-54</t>
  </si>
  <si>
    <t xml:space="preserve">   55-59</t>
  </si>
  <si>
    <t xml:space="preserve">   60-64</t>
  </si>
  <si>
    <t>..</t>
  </si>
  <si>
    <t>Año</t>
  </si>
  <si>
    <t>Población migrante por sexo</t>
  </si>
  <si>
    <t>Distribución porcentual
de los inmigrantes</t>
  </si>
  <si>
    <t>Rusia</t>
  </si>
  <si>
    <t>Alemania</t>
  </si>
  <si>
    <t>Arabia Saudita</t>
  </si>
  <si>
    <t>Canadá</t>
  </si>
  <si>
    <t>Francia</t>
  </si>
  <si>
    <t>España</t>
  </si>
  <si>
    <t>India</t>
  </si>
  <si>
    <t>Ucrania</t>
  </si>
  <si>
    <t>Australia</t>
  </si>
  <si>
    <t>Italia</t>
  </si>
  <si>
    <t>Pakistán</t>
  </si>
  <si>
    <t>²⁾ Las regiones menos desarrolladas abarcan todas las regiones de África, Asia (excepto Japón), América Latina y el Caribe, Melanesia, Micronesia y Polinesia.</t>
  </si>
  <si>
    <t>Afganistán</t>
  </si>
  <si>
    <t>México</t>
  </si>
  <si>
    <t>Bangladesh</t>
  </si>
  <si>
    <t>Emiratos Árabes Unidos</t>
  </si>
  <si>
    <t>Filipinas</t>
  </si>
  <si>
    <t>Turquía</t>
  </si>
  <si>
    <t>Polonia</t>
  </si>
  <si>
    <t>Egipto</t>
  </si>
  <si>
    <t>Tailandia</t>
  </si>
  <si>
    <t>Rumania</t>
  </si>
  <si>
    <t>Indonesia</t>
  </si>
  <si>
    <t>China</t>
  </si>
  <si>
    <t>Kazajstán</t>
  </si>
  <si>
    <t>Población Mundial (miles)</t>
  </si>
  <si>
    <t>Inmigrantes como porcentaje de la población mundial</t>
  </si>
  <si>
    <t>65-69</t>
  </si>
  <si>
    <t>70-74</t>
  </si>
  <si>
    <t>75+</t>
  </si>
  <si>
    <t>Destino</t>
  </si>
  <si>
    <t>Estados Unidos</t>
  </si>
  <si>
    <t>Origen</t>
  </si>
  <si>
    <t>Paises (Destino)</t>
  </si>
  <si>
    <t>Paises (Origen)</t>
  </si>
  <si>
    <t>Migrantes como porcentaje de la población mundial</t>
  </si>
  <si>
    <t>Distribución porcentual
de los migrantes</t>
  </si>
  <si>
    <t>Myanmar</t>
  </si>
  <si>
    <t>Puerto Rico</t>
  </si>
  <si>
    <t>Población mundial</t>
  </si>
  <si>
    <t xml:space="preserve">Total de migrantes </t>
  </si>
  <si>
    <t xml:space="preserve"> Nivel de desarrollo</t>
  </si>
  <si>
    <t>Total de migrantes</t>
  </si>
  <si>
    <t>Absoluto (miles)</t>
  </si>
  <si>
    <t>Población emigrante (miles)</t>
  </si>
  <si>
    <t>Emigrantes como porcentaje de la población mundial</t>
  </si>
  <si>
    <t>Distribución porcentual
de los emigrantes</t>
  </si>
  <si>
    <t>Población mundial (miles)</t>
  </si>
  <si>
    <t>Población inmigrante
(miles)</t>
  </si>
  <si>
    <t>Población migrante
(miles)</t>
  </si>
  <si>
    <t>Población en miles</t>
  </si>
  <si>
    <t>Regiones y nivel de desarrollo</t>
  </si>
  <si>
    <t>Sudáfrica</t>
  </si>
  <si>
    <t>Malasia</t>
  </si>
  <si>
    <t>Notas: ¹⁾ Incluye: Europa y América del Norte, Australia, Nueva Zelanda y Japón</t>
  </si>
  <si>
    <t>China, Hong Kong SAR</t>
  </si>
  <si>
    <t>Dirección</t>
  </si>
  <si>
    <t>Sur-Norte</t>
  </si>
  <si>
    <t>Sur-Sur</t>
  </si>
  <si>
    <t>Norte-Norte</t>
  </si>
  <si>
    <t>Reino Unido</t>
  </si>
  <si>
    <t>Norte-Sur</t>
  </si>
  <si>
    <t>Croacia</t>
  </si>
  <si>
    <t>Serbia</t>
  </si>
  <si>
    <t>Chile</t>
  </si>
  <si>
    <t>Argentina</t>
  </si>
  <si>
    <t>% corredor por dirección</t>
  </si>
  <si>
    <t>Otros</t>
  </si>
  <si>
    <r>
      <t>Regiones más desarrolladas</t>
    </r>
    <r>
      <rPr>
        <b/>
        <vertAlign val="superscript"/>
        <sz val="10"/>
        <color theme="0"/>
        <rFont val="Montserrat"/>
      </rPr>
      <t>1</t>
    </r>
  </si>
  <si>
    <r>
      <t>Regiones menos desarolladas</t>
    </r>
    <r>
      <rPr>
        <b/>
        <vertAlign val="superscript"/>
        <sz val="10"/>
        <color theme="0"/>
        <rFont val="Montserrat"/>
      </rPr>
      <t>2</t>
    </r>
  </si>
  <si>
    <t>Fuente: De 1960 a 1985, elaboración del CONAPO con cifras de la División de Población de las Naciones Unidas, revisión 2008.</t>
  </si>
  <si>
    <t xml:space="preserve">Fuente: De 1990 a 2019, elaboración del CONAPO con cifras de la División de Población de las Naciones Unidas, revisión 2019. </t>
  </si>
  <si>
    <t xml:space="preserve">Tasa anual de crecimiento </t>
  </si>
  <si>
    <t>Kuwait</t>
  </si>
  <si>
    <t>China, RAE de Hong Kong</t>
  </si>
  <si>
    <t>Suiza</t>
  </si>
  <si>
    <t>Costa de Marfil</t>
  </si>
  <si>
    <t>Japón</t>
  </si>
  <si>
    <t>Omán</t>
  </si>
  <si>
    <t>Países Bajos</t>
  </si>
  <si>
    <t>Katar</t>
  </si>
  <si>
    <t>Singapur</t>
  </si>
  <si>
    <t>Suecia</t>
  </si>
  <si>
    <t>Bélgica</t>
  </si>
  <si>
    <t>Israel</t>
  </si>
  <si>
    <t>Líbano</t>
  </si>
  <si>
    <t>Austria</t>
  </si>
  <si>
    <t>Uganda</t>
  </si>
  <si>
    <t>Nigeria</t>
  </si>
  <si>
    <t>Etiopía</t>
  </si>
  <si>
    <t>Sudán</t>
  </si>
  <si>
    <t>Grecia</t>
  </si>
  <si>
    <t>Uzbekistán</t>
  </si>
  <si>
    <t>Colombia</t>
  </si>
  <si>
    <t>Bielorrusia</t>
  </si>
  <si>
    <t>Nueva Zelanda</t>
  </si>
  <si>
    <t>Kenia</t>
  </si>
  <si>
    <t>República Democrática del Congo</t>
  </si>
  <si>
    <t>Portugal</t>
  </si>
  <si>
    <t>Noruega</t>
  </si>
  <si>
    <t>Sudán del Sur</t>
  </si>
  <si>
    <t>Irlanda</t>
  </si>
  <si>
    <t>Libia</t>
  </si>
  <si>
    <t>Brasil</t>
  </si>
  <si>
    <t>Perú</t>
  </si>
  <si>
    <t>Bahrein</t>
  </si>
  <si>
    <t>Dinamarca</t>
  </si>
  <si>
    <t>Burkina Faso</t>
  </si>
  <si>
    <t>Angola</t>
  </si>
  <si>
    <t>República Dominicana</t>
  </si>
  <si>
    <t>Ruanda</t>
  </si>
  <si>
    <t>Chequia</t>
  </si>
  <si>
    <t>Chad</t>
  </si>
  <si>
    <t>Hungría</t>
  </si>
  <si>
    <t>República Unida de Tanzania</t>
  </si>
  <si>
    <t>Camerún</t>
  </si>
  <si>
    <t>Nepal</t>
  </si>
  <si>
    <t>Mali</t>
  </si>
  <si>
    <t>Ghana</t>
  </si>
  <si>
    <t>Costa Rica</t>
  </si>
  <si>
    <t>Gabón</t>
  </si>
  <si>
    <t>Zimbabue</t>
  </si>
  <si>
    <t>Congo</t>
  </si>
  <si>
    <t>China, RAE de Macao</t>
  </si>
  <si>
    <t>Benin</t>
  </si>
  <si>
    <t>Yemen</t>
  </si>
  <si>
    <t>Finlandia</t>
  </si>
  <si>
    <t>Ecuador</t>
  </si>
  <si>
    <t>Irak</t>
  </si>
  <si>
    <t>Mozambique</t>
  </si>
  <si>
    <t>Burundi</t>
  </si>
  <si>
    <t>Níger</t>
  </si>
  <si>
    <t>Luxemburgo</t>
  </si>
  <si>
    <t>Senegal</t>
  </si>
  <si>
    <t>Tayikistán</t>
  </si>
  <si>
    <t>Azerbaiyán</t>
  </si>
  <si>
    <t>Eslovenia</t>
  </si>
  <si>
    <t>Argelia</t>
  </si>
  <si>
    <t>Malawi</t>
  </si>
  <si>
    <t>Letonia</t>
  </si>
  <si>
    <t>Guinea Ecuatorial</t>
  </si>
  <si>
    <t>Gambia</t>
  </si>
  <si>
    <t>Kirguistán</t>
  </si>
  <si>
    <t>Turkmenistán</t>
  </si>
  <si>
    <t>Chipre</t>
  </si>
  <si>
    <t>Estonia</t>
  </si>
  <si>
    <t>Armenia</t>
  </si>
  <si>
    <t>Eslovaquia</t>
  </si>
  <si>
    <t>Panamá</t>
  </si>
  <si>
    <t>Mauritania</t>
  </si>
  <si>
    <t>Zambia</t>
  </si>
  <si>
    <t>Bulgaria</t>
  </si>
  <si>
    <t>Paraguay</t>
  </si>
  <si>
    <t>Macedonia del norte</t>
  </si>
  <si>
    <t>Reunión</t>
  </si>
  <si>
    <t>Guinea</t>
  </si>
  <si>
    <t>Guayana Francesa</t>
  </si>
  <si>
    <t>Lituania</t>
  </si>
  <si>
    <t>Djibouti</t>
  </si>
  <si>
    <t>Brunei Darussalam</t>
  </si>
  <si>
    <t>Botsuana</t>
  </si>
  <si>
    <t>Namibia</t>
  </si>
  <si>
    <t>República de Moldova</t>
  </si>
  <si>
    <t>Guadalupe</t>
  </si>
  <si>
    <t>Marruecos</t>
  </si>
  <si>
    <t>Liberia</t>
  </si>
  <si>
    <t>República Centroafricana</t>
  </si>
  <si>
    <t>Malta</t>
  </si>
  <si>
    <t>Islas del Canal</t>
  </si>
  <si>
    <t>Uruguay</t>
  </si>
  <si>
    <t>Guatemala</t>
  </si>
  <si>
    <t>Guam</t>
  </si>
  <si>
    <t>Georgia</t>
  </si>
  <si>
    <t>Camboya</t>
  </si>
  <si>
    <t>Vietnam</t>
  </si>
  <si>
    <t>Mayotte</t>
  </si>
  <si>
    <t>Nueva Caledonia</t>
  </si>
  <si>
    <t>Montenegro</t>
  </si>
  <si>
    <t>Maldivas</t>
  </si>
  <si>
    <t>Bahamas</t>
  </si>
  <si>
    <t>Martinica</t>
  </si>
  <si>
    <t>Belice</t>
  </si>
  <si>
    <t>Trinidad y Tobago</t>
  </si>
  <si>
    <t>Túnez</t>
  </si>
  <si>
    <t>Islas Vírgenes de los Estados Unidos</t>
  </si>
  <si>
    <t>Sierra Leona</t>
  </si>
  <si>
    <t>Bután</t>
  </si>
  <si>
    <t>Islandia</t>
  </si>
  <si>
    <t>Somalia</t>
  </si>
  <si>
    <t>Albania</t>
  </si>
  <si>
    <t>República Democrática Popular Lao</t>
  </si>
  <si>
    <t>Surinam</t>
  </si>
  <si>
    <t>Andorra</t>
  </si>
  <si>
    <t>El Salvador</t>
  </si>
  <si>
    <t>Nicaragua</t>
  </si>
  <si>
    <t>Curazao</t>
  </si>
  <si>
    <t>Sri Lanka</t>
  </si>
  <si>
    <t>Honduras</t>
  </si>
  <si>
    <t>Aruba</t>
  </si>
  <si>
    <t>Bosnia y Herzegovina</t>
  </si>
  <si>
    <t>Madagascar</t>
  </si>
  <si>
    <t>Barbados</t>
  </si>
  <si>
    <t>Eswatini</t>
  </si>
  <si>
    <t>Papúa Nueva Guinea</t>
  </si>
  <si>
    <t>Polinesia francés</t>
  </si>
  <si>
    <t>Antigua y Barbuda</t>
  </si>
  <si>
    <t>Islas Caimán</t>
  </si>
  <si>
    <t>Mauricio</t>
  </si>
  <si>
    <t>Guinea-Bissau</t>
  </si>
  <si>
    <t>Mónaco</t>
  </si>
  <si>
    <t>Liechtenstein</t>
  </si>
  <si>
    <t>Islas Turcas y Caicos</t>
  </si>
  <si>
    <t>Samoa Americana</t>
  </si>
  <si>
    <t>Jamaica</t>
  </si>
  <si>
    <t>Islas Marianas del Norte</t>
  </si>
  <si>
    <t>Mongolia</t>
  </si>
  <si>
    <t>Islas Vírgenes Británicas</t>
  </si>
  <si>
    <t>islas Bermudas</t>
  </si>
  <si>
    <t>Haití</t>
  </si>
  <si>
    <t>Eritrea</t>
  </si>
  <si>
    <t>Guayana</t>
  </si>
  <si>
    <t>Cabo Verde</t>
  </si>
  <si>
    <t>Bonaire, San Eustaquio y Saba</t>
  </si>
  <si>
    <t>Fiyi</t>
  </si>
  <si>
    <t>Seychelles</t>
  </si>
  <si>
    <t>Comoras</t>
  </si>
  <si>
    <t>Gibraltar</t>
  </si>
  <si>
    <t>Timor-Leste</t>
  </si>
  <si>
    <t>Santa Lucía</t>
  </si>
  <si>
    <t>Dominica</t>
  </si>
  <si>
    <t>San Cristóbal y Nieves</t>
  </si>
  <si>
    <t>Granada</t>
  </si>
  <si>
    <t>Lesoto</t>
  </si>
  <si>
    <t>Islas Faroe</t>
  </si>
  <si>
    <t>Groenlandia</t>
  </si>
  <si>
    <t>Anguila</t>
  </si>
  <si>
    <t>San Marino</t>
  </si>
  <si>
    <t>Sahara Occidental</t>
  </si>
  <si>
    <t>Palau</t>
  </si>
  <si>
    <t>Cuba</t>
  </si>
  <si>
    <t>San Vicente y las Granadinas</t>
  </si>
  <si>
    <t>Samoa</t>
  </si>
  <si>
    <t>Tonga</t>
  </si>
  <si>
    <t>Islas Cook</t>
  </si>
  <si>
    <t>Islas Marshall</t>
  </si>
  <si>
    <t>Vanuatu</t>
  </si>
  <si>
    <t>Kiribati</t>
  </si>
  <si>
    <t>Islas Salomón</t>
  </si>
  <si>
    <t>Santo Tomé y Príncipe</t>
  </si>
  <si>
    <t>Nauru</t>
  </si>
  <si>
    <t>Montserrat</t>
  </si>
  <si>
    <t>Islas Wallis y Futuna</t>
  </si>
  <si>
    <t>San Pedro y Miquelón</t>
  </si>
  <si>
    <t>Santa Sede</t>
  </si>
  <si>
    <t>Niue</t>
  </si>
  <si>
    <t>Tokelau</t>
  </si>
  <si>
    <t>Santa helena</t>
  </si>
  <si>
    <t>Tuvalu</t>
  </si>
  <si>
    <t>Venezuela</t>
  </si>
  <si>
    <t>Corea del Sur</t>
  </si>
  <si>
    <t>Siria</t>
  </si>
  <si>
    <t>Togo</t>
  </si>
  <si>
    <t>Bolivia</t>
  </si>
  <si>
    <t>Corea del Norte</t>
  </si>
  <si>
    <t>Isla de Man</t>
  </si>
  <si>
    <t>Saint Maarten (parte holandesa)</t>
  </si>
  <si>
    <t xml:space="preserve">Micronesia </t>
  </si>
  <si>
    <t>Islas Malvinas</t>
  </si>
  <si>
    <t>Jordán</t>
  </si>
  <si>
    <t>Irán</t>
  </si>
  <si>
    <t>--</t>
  </si>
  <si>
    <r>
      <t>Estado de Palestina</t>
    </r>
    <r>
      <rPr>
        <vertAlign val="superscript"/>
        <sz val="9"/>
        <rFont val="Montserrat"/>
      </rPr>
      <t>1</t>
    </r>
  </si>
  <si>
    <r>
      <t xml:space="preserve">Notas: </t>
    </r>
    <r>
      <rPr>
        <vertAlign val="superscript"/>
        <sz val="8"/>
        <color theme="1"/>
        <rFont val="Montserrat"/>
      </rPr>
      <t xml:space="preserve">1 </t>
    </r>
    <r>
      <rPr>
        <sz val="8"/>
        <color theme="1"/>
        <rFont val="Montserrat"/>
      </rPr>
      <t>Palestina Incluye el este de Jerusalén. Los refugiados no son parte de la población migrante nacida en el extranjero en el Estado de Palestina.</t>
    </r>
  </si>
  <si>
    <r>
      <t xml:space="preserve">Otro Sur </t>
    </r>
    <r>
      <rPr>
        <vertAlign val="superscript"/>
        <sz val="9"/>
        <rFont val="Montserrat"/>
      </rPr>
      <t>2</t>
    </r>
  </si>
  <si>
    <r>
      <t xml:space="preserve">Otro Norte </t>
    </r>
    <r>
      <rPr>
        <vertAlign val="superscript"/>
        <sz val="9"/>
        <rFont val="Montserrat"/>
      </rPr>
      <t>2</t>
    </r>
  </si>
  <si>
    <r>
      <rPr>
        <vertAlign val="superscript"/>
        <sz val="8"/>
        <color indexed="8"/>
        <rFont val="Montserrat"/>
      </rPr>
      <t xml:space="preserve">2 </t>
    </r>
    <r>
      <rPr>
        <sz val="8"/>
        <color indexed="8"/>
        <rFont val="Montserrat"/>
      </rPr>
      <t xml:space="preserve"> “Otro Norte” y “Otro Sur” contienen un conjunto de datos que incluye un origen que no formaba parte de la lista estándar de los países o áreas. Para revisar la metodología veáse: http://unstats.un.org/unsd/methods/m49/m49regin.htm y  http://www.un.org/en/development/desa/population/migration/data/estimates2/docs/MigrationStockDocumentation_2015.pdf</t>
    </r>
  </si>
  <si>
    <r>
      <t xml:space="preserve">Estado de Palestina </t>
    </r>
    <r>
      <rPr>
        <vertAlign val="superscript"/>
        <sz val="9"/>
        <color theme="1"/>
        <rFont val="Montserrat"/>
      </rPr>
      <t>1</t>
    </r>
  </si>
  <si>
    <t>Grupos de edad y sexo</t>
  </si>
  <si>
    <t>Grupos de Edad</t>
  </si>
  <si>
    <t>Sexo</t>
  </si>
  <si>
    <t>Posición</t>
  </si>
  <si>
    <t>País de origen</t>
  </si>
  <si>
    <t>País de destino</t>
  </si>
  <si>
    <t>Stock (miles)</t>
  </si>
  <si>
    <t>Stock (%)</t>
  </si>
  <si>
    <t xml:space="preserve">Otros </t>
  </si>
  <si>
    <t>Sur - Norte</t>
  </si>
  <si>
    <t>Sur - Sur</t>
  </si>
  <si>
    <t>Norte - Norte</t>
  </si>
  <si>
    <r>
      <t>Dirección de la migración</t>
    </r>
    <r>
      <rPr>
        <b/>
        <vertAlign val="superscript"/>
        <sz val="10"/>
        <color theme="0"/>
        <rFont val="Montserrat"/>
      </rPr>
      <t xml:space="preserve"> 1</t>
    </r>
  </si>
  <si>
    <t>Total Norte- Norte</t>
  </si>
  <si>
    <t>Total Norte- Sur</t>
  </si>
  <si>
    <t>Total Sur- Norte</t>
  </si>
  <si>
    <t>Total general</t>
  </si>
  <si>
    <r>
      <t>Estado de Palestina</t>
    </r>
    <r>
      <rPr>
        <vertAlign val="superscript"/>
        <sz val="9"/>
        <color theme="1"/>
        <rFont val="Montserrat"/>
      </rPr>
      <t xml:space="preserve"> 2</t>
    </r>
  </si>
  <si>
    <r>
      <t xml:space="preserve">Nota: </t>
    </r>
    <r>
      <rPr>
        <vertAlign val="superscript"/>
        <sz val="8"/>
        <color theme="1"/>
        <rFont val="Montserrat"/>
      </rPr>
      <t xml:space="preserve">1 </t>
    </r>
    <r>
      <rPr>
        <sz val="8"/>
        <color theme="1"/>
        <rFont val="Montserrat"/>
      </rPr>
      <t xml:space="preserve">De acuerdo con la clasificación del Banco Mundial, en términos generales por "Norte" se entiende los países de ingresos altos, y por "Sur" los países de ingresos medios y bajos. De acuerdo a esta clasificación se pueden distinguir cuatro rutas migratorias que permiten analizar los patrones migratorios mundiales desde una perspectiva más amplia que se aparta de los estudios tradicionales: Sur- Norte, Sur- Sur, Norte- Sur y Norte- Norte.
</t>
    </r>
    <r>
      <rPr>
        <vertAlign val="superscript"/>
        <sz val="8"/>
        <color theme="1"/>
        <rFont val="Montserrat"/>
      </rPr>
      <t xml:space="preserve">2  </t>
    </r>
    <r>
      <rPr>
        <sz val="8"/>
        <color theme="1"/>
        <rFont val="Montserrat"/>
      </rPr>
      <t>Palestina Incluye el este de Jerusalén. Los refugiados no son parte de la población migrante nacida en el extranjero en el Estado de Palestina.</t>
    </r>
  </si>
  <si>
    <t>Emigrantes
2019</t>
  </si>
  <si>
    <t>%</t>
  </si>
  <si>
    <t>Inmigrantes
2019</t>
  </si>
  <si>
    <t>Europa (Alto ingreso)</t>
  </si>
  <si>
    <t>América del Norte</t>
  </si>
  <si>
    <t>Europa Oriental y Asia Central</t>
  </si>
  <si>
    <t>Medio Oriente (Alto ingreso)</t>
  </si>
  <si>
    <t>África Subsahariana</t>
  </si>
  <si>
    <t>Asia Oriental y el Pacífico (Alto ingreso)</t>
  </si>
  <si>
    <t>Medio Oriente y Norte de África (Países en desarrollo)</t>
  </si>
  <si>
    <t>Sur de Asia</t>
  </si>
  <si>
    <t>América Latina y El Caribe</t>
  </si>
  <si>
    <t>Asia Oriental y el Pacífico (Países en desarrollo)</t>
  </si>
  <si>
    <t>No especificado</t>
  </si>
  <si>
    <t>Medio Oriente y Norte de África</t>
  </si>
  <si>
    <t>Asia Oriental y el Pacífico</t>
  </si>
  <si>
    <t>Europa (Alto ingreso))</t>
  </si>
  <si>
    <t>NE</t>
  </si>
  <si>
    <t>NE: Corresponde a los no específicados</t>
  </si>
  <si>
    <r>
      <t xml:space="preserve">Región de Origen </t>
    </r>
    <r>
      <rPr>
        <b/>
        <vertAlign val="superscript"/>
        <sz val="9"/>
        <color theme="0"/>
        <rFont val="Montserrat"/>
      </rPr>
      <t>1</t>
    </r>
  </si>
  <si>
    <r>
      <t>Región de Destino</t>
    </r>
    <r>
      <rPr>
        <b/>
        <vertAlign val="superscript"/>
        <sz val="9"/>
        <color theme="0"/>
        <rFont val="Montserrat"/>
      </rPr>
      <t>1</t>
    </r>
  </si>
  <si>
    <r>
      <t>Matriz de flujos regional  (origen- destino) de la población migrante internacional, 2019</t>
    </r>
    <r>
      <rPr>
        <b/>
        <vertAlign val="superscript"/>
        <sz val="10"/>
        <color theme="1"/>
        <rFont val="Montserrat"/>
      </rPr>
      <t xml:space="preserve"> </t>
    </r>
  </si>
  <si>
    <r>
      <t xml:space="preserve">Regiones de Origen </t>
    </r>
    <r>
      <rPr>
        <b/>
        <vertAlign val="superscript"/>
        <sz val="9"/>
        <color theme="0"/>
        <rFont val="Montserrat"/>
      </rPr>
      <t>1</t>
    </r>
  </si>
  <si>
    <r>
      <t xml:space="preserve">Regiones de Destino </t>
    </r>
    <r>
      <rPr>
        <b/>
        <vertAlign val="superscript"/>
        <sz val="9"/>
        <color theme="0"/>
        <rFont val="Montserrat"/>
      </rPr>
      <t>1</t>
    </r>
  </si>
  <si>
    <t>1.6. Stock migratorio de los corredores migratorios mundiales (origen - destino) con flujos superiores a 1 millón de personas, 2019</t>
  </si>
  <si>
    <t>Total Sur- Sur</t>
  </si>
  <si>
    <t>Población emigrante hombres (miles)</t>
  </si>
  <si>
    <t>Población emigrante mujeres (miles)</t>
  </si>
  <si>
    <t>Grupos de Edad (Hombres)</t>
  </si>
  <si>
    <t>Grupos de Edad (Mujeres)</t>
  </si>
  <si>
    <t>1.4. Población mundial y emigrante según sexo por país de origen, 2019</t>
  </si>
  <si>
    <t>1.3. Población mundial e inmigrantes según sexo por país de destino, 2019</t>
  </si>
  <si>
    <t>1.5. Regiones de origen y destino de la población migrante internacional, 2019</t>
  </si>
  <si>
    <t>1.7. Los cinco principales corredores migratorios en las cuatro direcciones de la migración, 2019</t>
  </si>
  <si>
    <t>Población Inmigrante mujeres (miles)</t>
  </si>
  <si>
    <t>Población Inmigrante hombres (miles)</t>
  </si>
  <si>
    <t>1.1. Total de población mundial y migrante según sexo y nivel de desarrollo regional de destino, 1960 - 2019</t>
  </si>
  <si>
    <t>1.2. Población migrante internacional según sexo y grupos de edad, 2019</t>
  </si>
  <si>
    <t>.</t>
  </si>
  <si>
    <t>Fecha de consulta: noviembre de 2020.</t>
  </si>
  <si>
    <t>Recuperado de: https://www.un.org/en/development/desa/population/migration/data/estimates2/data/UN_MigrantStockByAgeAndSex_2019.xlsx</t>
  </si>
  <si>
    <t>Recuperado de: https://www.un.org/en/development/desa/population/migration/data/index.asp</t>
  </si>
  <si>
    <t>Recuperado de: https://www.un.org/en/development/desa/population/migration/data/estimates2/data/UN_MigrantStockByOriginAndDestination_2019.xlsx</t>
  </si>
  <si>
    <t>Fuente: Elaboración del CONAPO con base en cifras de la División de Población de las Naciones Unidas, revisión 2019.</t>
  </si>
  <si>
    <t>Fuente: Elaboración del CONAPO con cifras de la División de Población de las Naciones Unidas, revisión 2019.</t>
  </si>
  <si>
    <r>
      <t xml:space="preserve">Nota: </t>
    </r>
    <r>
      <rPr>
        <vertAlign val="superscript"/>
        <sz val="8"/>
        <rFont val="Montserrat"/>
      </rPr>
      <t>1/</t>
    </r>
    <r>
      <rPr>
        <sz val="8"/>
        <rFont val="Montserrat"/>
      </rPr>
      <t xml:space="preserve"> Clasificación basada en la lista de economías del Banco Mundial, actualizada a junio de 2019. Los paises que no se encuentran en esta lista, fueron contabilizados en la región administrativa a la que pertenecen.</t>
    </r>
  </si>
  <si>
    <t>Nota: El corredor migratorio de Puerto Rico - Estados Unidos (1 830) de la dirección Norte - Sur no es representado debido a que Puerto Rico esta bajo soberanía de Estados Unidos.</t>
  </si>
  <si>
    <t>Contenido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</si>
</sst>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164" formatCode="#\ ###\ ###\ ##0;\-#\ ###\ ###\ ##0;0"/>
    <numFmt numFmtId="165" formatCode="0.0"/>
    <numFmt numFmtId="166" formatCode="#\ ###\ ###"/>
    <numFmt numFmtId="167" formatCode="_(* #,##0.00_);_(* \(#,##0.00\);_(* &quot;-&quot;??_);_(@_)"/>
    <numFmt numFmtId="168" formatCode="mmm\ dd\,\ yyyy"/>
    <numFmt numFmtId="169" formatCode="_-* #\ ###\ ##0\ \ \ _-;\-* #\ ###\ ##0\ \ \ _-;_-* &quot;---&quot;_-;_-@_-"/>
    <numFmt numFmtId="170" formatCode="###\ ###"/>
    <numFmt numFmtId="171" formatCode="###\ ###\ ###"/>
    <numFmt numFmtId="172" formatCode="###.0\ ###\ ###"/>
    <numFmt numFmtId="173" formatCode="0.0%"/>
    <numFmt numFmtId="174" formatCode="#,##0.0"/>
    <numFmt numFmtId="175" formatCode="0.00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11"/>
      <color indexed="8"/>
      <name val="Calibri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Montserrat"/>
    </font>
    <font>
      <b/>
      <sz val="14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0"/>
      <name val="Montserrat"/>
    </font>
    <font>
      <sz val="10"/>
      <name val="Montserrat"/>
    </font>
    <font>
      <sz val="9"/>
      <color theme="1"/>
      <name val="Montserrat"/>
    </font>
    <font>
      <b/>
      <sz val="8"/>
      <name val="Montserrat"/>
    </font>
    <font>
      <b/>
      <sz val="12"/>
      <color theme="1"/>
      <name val="Montserrat"/>
    </font>
    <font>
      <b/>
      <sz val="9"/>
      <color theme="1"/>
      <name val="Montserrat"/>
    </font>
    <font>
      <sz val="8"/>
      <color indexed="8"/>
      <name val="Montserrat"/>
    </font>
    <font>
      <sz val="8"/>
      <color theme="1"/>
      <name val="Montserrat"/>
    </font>
    <font>
      <u/>
      <sz val="9"/>
      <color theme="10"/>
      <name val="Montserrat"/>
    </font>
    <font>
      <vertAlign val="superscript"/>
      <sz val="8"/>
      <color indexed="8"/>
      <name val="Montserrat"/>
    </font>
    <font>
      <b/>
      <sz val="16"/>
      <name val="Montserrat"/>
    </font>
    <font>
      <sz val="12"/>
      <name val="Montserrat"/>
    </font>
    <font>
      <b/>
      <sz val="14"/>
      <name val="Montserrat"/>
    </font>
    <font>
      <sz val="11"/>
      <color theme="0"/>
      <name val="Montserrat"/>
    </font>
    <font>
      <b/>
      <sz val="12"/>
      <name val="Montserrat"/>
    </font>
    <font>
      <sz val="11"/>
      <name val="Montserrat"/>
    </font>
    <font>
      <b/>
      <sz val="16"/>
      <color theme="1"/>
      <name val="Montserrat"/>
    </font>
    <font>
      <b/>
      <sz val="11"/>
      <color theme="1"/>
      <name val="Montserrat"/>
    </font>
    <font>
      <b/>
      <sz val="20"/>
      <color theme="1"/>
      <name val="Montserrat"/>
    </font>
    <font>
      <vertAlign val="superscript"/>
      <sz val="8"/>
      <color theme="1"/>
      <name val="Montserrat"/>
    </font>
    <font>
      <b/>
      <sz val="22"/>
      <color theme="1"/>
      <name val="Montserrat"/>
    </font>
    <font>
      <sz val="12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b/>
      <sz val="10"/>
      <color theme="0"/>
      <name val="Montserrat"/>
    </font>
    <font>
      <sz val="10"/>
      <color theme="0"/>
      <name val="Montserrat"/>
    </font>
    <font>
      <b/>
      <vertAlign val="superscript"/>
      <sz val="10"/>
      <color theme="0"/>
      <name val="Montserrat"/>
    </font>
    <font>
      <b/>
      <sz val="11"/>
      <color theme="0"/>
      <name val="Montserrat"/>
    </font>
    <font>
      <b/>
      <sz val="20"/>
      <color theme="0"/>
      <name val="Montserrat"/>
    </font>
    <font>
      <b/>
      <sz val="9"/>
      <name val="Montserrat"/>
    </font>
    <font>
      <vertAlign val="superscript"/>
      <sz val="9"/>
      <name val="Montserrat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vertAlign val="superscript"/>
      <sz val="9"/>
      <color theme="0"/>
      <name val="Montserrat"/>
    </font>
    <font>
      <b/>
      <sz val="9"/>
      <color theme="0"/>
      <name val="Montserrat"/>
    </font>
    <font>
      <b/>
      <vertAlign val="superscript"/>
      <sz val="10"/>
      <color theme="1"/>
      <name val="Montserrat"/>
    </font>
    <font>
      <sz val="8"/>
      <name val="Arial"/>
      <family val="2"/>
    </font>
    <font>
      <sz val="8"/>
      <name val="Montserrat"/>
    </font>
    <font>
      <vertAlign val="superscript"/>
      <sz val="8"/>
      <name val="Montserrat"/>
    </font>
    <font>
      <u/>
      <sz val="11"/>
      <color theme="10"/>
      <name val="Montserrat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0"/>
      </bottom>
      <diagonal/>
    </border>
  </borders>
  <cellStyleXfs count="14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2">
      <alignment horizontal="center" vertical="center"/>
    </xf>
    <xf numFmtId="1" fontId="7" fillId="2" borderId="3">
      <alignment horizontal="right" vertical="center"/>
    </xf>
    <xf numFmtId="0" fontId="7" fillId="3" borderId="3">
      <alignment horizontal="center" vertical="center"/>
    </xf>
    <xf numFmtId="1" fontId="7" fillId="2" borderId="3">
      <alignment horizontal="right" vertical="center"/>
    </xf>
    <xf numFmtId="0" fontId="2" fillId="2" borderId="0"/>
    <xf numFmtId="0" fontId="8" fillId="2" borderId="3">
      <alignment horizontal="left" vertical="center"/>
    </xf>
    <xf numFmtId="167" fontId="2" fillId="0" borderId="0" applyFont="0" applyFill="0" applyBorder="0" applyAlignment="0" applyProtection="0"/>
    <xf numFmtId="165" fontId="3" fillId="0" borderId="0" applyBorder="0"/>
    <xf numFmtId="165" fontId="3" fillId="0" borderId="4"/>
    <xf numFmtId="0" fontId="6" fillId="0" borderId="0"/>
    <xf numFmtId="0" fontId="6" fillId="0" borderId="0">
      <alignment horizontal="left" indent="1"/>
    </xf>
    <xf numFmtId="0" fontId="2" fillId="0" borderId="0">
      <alignment horizontal="left" indent="2"/>
    </xf>
    <xf numFmtId="0" fontId="2" fillId="0" borderId="0">
      <alignment horizontal="left" indent="3"/>
    </xf>
    <xf numFmtId="0" fontId="2" fillId="0" borderId="0">
      <alignment horizontal="left" indent="4"/>
    </xf>
    <xf numFmtId="0" fontId="9" fillId="0" borderId="0" applyNumberForma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0" borderId="0">
      <alignment horizontal="left"/>
    </xf>
    <xf numFmtId="9" fontId="2" fillId="0" borderId="0" applyFont="0" applyFill="0" applyBorder="0" applyAlignment="0" applyProtection="0"/>
    <xf numFmtId="0" fontId="3" fillId="0" borderId="1">
      <alignment horizontal="center" vertical="center"/>
    </xf>
    <xf numFmtId="168" fontId="2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16" fillId="0" borderId="0"/>
    <xf numFmtId="0" fontId="17" fillId="0" borderId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23" borderId="6" applyNumberFormat="0" applyAlignment="0" applyProtection="0"/>
    <xf numFmtId="0" fontId="27" fillId="24" borderId="7" applyNumberFormat="0" applyAlignment="0" applyProtection="0"/>
    <xf numFmtId="167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0" borderId="11" applyNumberFormat="0" applyFill="0" applyAlignment="0" applyProtection="0"/>
    <xf numFmtId="0" fontId="20" fillId="25" borderId="12" applyNumberFormat="0" applyFont="0" applyAlignment="0" applyProtection="0"/>
    <xf numFmtId="0" fontId="35" fillId="2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38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5" fillId="25" borderId="12" applyNumberFormat="0" applyFont="0" applyAlignment="0" applyProtection="0"/>
    <xf numFmtId="0" fontId="5" fillId="0" borderId="0"/>
    <xf numFmtId="0" fontId="5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23" borderId="6" applyNumberFormat="0" applyAlignment="0" applyProtection="0"/>
    <xf numFmtId="0" fontId="27" fillId="24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0" borderId="11" applyNumberFormat="0" applyFill="0" applyAlignment="0" applyProtection="0"/>
    <xf numFmtId="0" fontId="5" fillId="25" borderId="12" applyNumberFormat="0" applyFont="0" applyAlignment="0" applyProtection="0"/>
    <xf numFmtId="0" fontId="35" fillId="23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1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0" fontId="5" fillId="0" borderId="0"/>
  </cellStyleXfs>
  <cellXfs count="307">
    <xf numFmtId="0" fontId="0" fillId="0" borderId="0" xfId="0"/>
    <xf numFmtId="0" fontId="39" fillId="0" borderId="0" xfId="0" applyFont="1"/>
    <xf numFmtId="0" fontId="40" fillId="0" borderId="0" xfId="0" applyFont="1" applyAlignment="1">
      <alignment vertical="center" wrapText="1"/>
    </xf>
    <xf numFmtId="0" fontId="39" fillId="0" borderId="0" xfId="0" applyFont="1" applyBorder="1"/>
    <xf numFmtId="0" fontId="39" fillId="0" borderId="0" xfId="0" applyFont="1" applyFill="1" applyBorder="1"/>
    <xf numFmtId="165" fontId="42" fillId="0" borderId="0" xfId="0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/>
    </xf>
    <xf numFmtId="0" fontId="43" fillId="0" borderId="0" xfId="1" applyFont="1" applyFill="1" applyBorder="1" applyAlignment="1">
      <alignment horizontal="center" vertical="center"/>
    </xf>
    <xf numFmtId="0" fontId="42" fillId="0" borderId="0" xfId="0" applyFont="1" applyFill="1" applyBorder="1"/>
    <xf numFmtId="0" fontId="45" fillId="0" borderId="0" xfId="0" applyFont="1" applyAlignment="1"/>
    <xf numFmtId="164" fontId="46" fillId="0" borderId="0" xfId="88" applyNumberFormat="1" applyFont="1" applyFill="1" applyBorder="1" applyAlignment="1">
      <alignment horizontal="right"/>
    </xf>
    <xf numFmtId="0" fontId="46" fillId="0" borderId="0" xfId="88" quotePrefix="1" applyFont="1" applyFill="1" applyBorder="1" applyAlignment="1">
      <alignment horizontal="center"/>
    </xf>
    <xf numFmtId="171" fontId="39" fillId="0" borderId="0" xfId="0" applyNumberFormat="1" applyFont="1" applyFill="1" applyBorder="1"/>
    <xf numFmtId="170" fontId="39" fillId="0" borderId="0" xfId="0" applyNumberFormat="1" applyFont="1" applyFill="1" applyBorder="1"/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0" fontId="50" fillId="0" borderId="0" xfId="0" applyFont="1"/>
    <xf numFmtId="0" fontId="40" fillId="0" borderId="0" xfId="0" applyFont="1" applyBorder="1" applyAlignment="1">
      <alignment vertical="center" wrapText="1"/>
    </xf>
    <xf numFmtId="0" fontId="45" fillId="0" borderId="0" xfId="0" applyFont="1"/>
    <xf numFmtId="0" fontId="48" fillId="0" borderId="0" xfId="0" applyFont="1" applyAlignment="1">
      <alignment horizontal="center"/>
    </xf>
    <xf numFmtId="0" fontId="53" fillId="26" borderId="0" xfId="81" applyFont="1" applyFill="1" applyBorder="1" applyAlignment="1">
      <alignment vertical="center" wrapText="1"/>
    </xf>
    <xf numFmtId="0" fontId="54" fillId="26" borderId="0" xfId="81" applyFont="1" applyFill="1" applyBorder="1"/>
    <xf numFmtId="169" fontId="44" fillId="26" borderId="0" xfId="1" applyNumberFormat="1" applyFont="1" applyFill="1" applyAlignment="1"/>
    <xf numFmtId="0" fontId="50" fillId="0" borderId="0" xfId="0" applyFont="1" applyBorder="1"/>
    <xf numFmtId="0" fontId="58" fillId="26" borderId="0" xfId="81" applyFont="1" applyFill="1" applyBorder="1"/>
    <xf numFmtId="0" fontId="59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45" fillId="0" borderId="0" xfId="0" applyFont="1" applyBorder="1"/>
    <xf numFmtId="0" fontId="63" fillId="0" borderId="0" xfId="0" applyFont="1" applyBorder="1" applyAlignment="1">
      <alignment vertical="center"/>
    </xf>
    <xf numFmtId="0" fontId="64" fillId="0" borderId="0" xfId="0" applyFont="1"/>
    <xf numFmtId="0" fontId="64" fillId="0" borderId="0" xfId="0" applyFont="1" applyFill="1"/>
    <xf numFmtId="169" fontId="44" fillId="0" borderId="0" xfId="1" applyNumberFormat="1" applyFont="1" applyFill="1" applyAlignment="1">
      <alignment horizontal="left" indent="3"/>
    </xf>
    <xf numFmtId="164" fontId="44" fillId="0" borderId="0" xfId="3" applyNumberFormat="1" applyFont="1" applyFill="1" applyBorder="1" applyAlignment="1">
      <alignment horizontal="center" vertical="center"/>
    </xf>
    <xf numFmtId="171" fontId="39" fillId="0" borderId="0" xfId="0" applyNumberFormat="1" applyFont="1"/>
    <xf numFmtId="0" fontId="45" fillId="0" borderId="0" xfId="0" applyFont="1" applyFill="1"/>
    <xf numFmtId="0" fontId="45" fillId="0" borderId="0" xfId="0" applyFont="1" applyAlignment="1">
      <alignment vertical="center"/>
    </xf>
    <xf numFmtId="164" fontId="45" fillId="0" borderId="0" xfId="88" applyNumberFormat="1" applyFont="1" applyFill="1" applyBorder="1" applyAlignment="1">
      <alignment horizontal="center" vertical="center"/>
    </xf>
    <xf numFmtId="169" fontId="45" fillId="26" borderId="0" xfId="1" applyNumberFormat="1" applyFont="1" applyFill="1" applyAlignment="1"/>
    <xf numFmtId="164" fontId="45" fillId="0" borderId="0" xfId="3" applyNumberFormat="1" applyFont="1" applyFill="1" applyBorder="1" applyAlignment="1">
      <alignment horizontal="right" vertical="center"/>
    </xf>
    <xf numFmtId="0" fontId="45" fillId="0" borderId="0" xfId="1" applyFont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 wrapText="1"/>
    </xf>
    <xf numFmtId="165" fontId="45" fillId="0" borderId="0" xfId="1" applyNumberFormat="1" applyFont="1" applyAlignment="1">
      <alignment horizontal="center" vertical="center"/>
    </xf>
    <xf numFmtId="3" fontId="45" fillId="0" borderId="0" xfId="39" applyNumberFormat="1" applyFont="1" applyFill="1" applyBorder="1" applyAlignment="1">
      <alignment horizontal="left" indent="1"/>
    </xf>
    <xf numFmtId="3" fontId="45" fillId="0" borderId="0" xfId="39" applyNumberFormat="1" applyFont="1" applyFill="1" applyBorder="1" applyAlignment="1">
      <alignment horizontal="right" vertical="center"/>
    </xf>
    <xf numFmtId="2" fontId="45" fillId="0" borderId="0" xfId="0" applyNumberFormat="1" applyFont="1" applyFill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0" fontId="45" fillId="0" borderId="0" xfId="1" applyFont="1" applyFill="1" applyBorder="1" applyAlignment="1"/>
    <xf numFmtId="0" fontId="45" fillId="0" borderId="0" xfId="1" applyFont="1" applyFill="1" applyBorder="1" applyAlignment="1">
      <alignment horizontal="right" vertical="center"/>
    </xf>
    <xf numFmtId="49" fontId="45" fillId="0" borderId="0" xfId="1" applyNumberFormat="1" applyFont="1" applyFill="1" applyBorder="1" applyAlignment="1"/>
    <xf numFmtId="49" fontId="45" fillId="0" borderId="0" xfId="1" applyNumberFormat="1" applyFont="1" applyFill="1" applyBorder="1" applyAlignment="1">
      <alignment horizontal="right" vertical="center"/>
    </xf>
    <xf numFmtId="0" fontId="45" fillId="0" borderId="0" xfId="1" applyFont="1" applyFill="1" applyBorder="1" applyAlignment="1">
      <alignment horizontal="left" indent="1"/>
    </xf>
    <xf numFmtId="169" fontId="45" fillId="0" borderId="0" xfId="1" applyNumberFormat="1" applyFont="1" applyFill="1" applyAlignment="1">
      <alignment vertical="center"/>
    </xf>
    <xf numFmtId="171" fontId="45" fillId="0" borderId="0" xfId="3" applyNumberFormat="1" applyFont="1" applyFill="1" applyBorder="1" applyAlignment="1">
      <alignment horizontal="center" vertical="center"/>
    </xf>
    <xf numFmtId="165" fontId="45" fillId="0" borderId="0" xfId="3" applyNumberFormat="1" applyFont="1" applyFill="1" applyBorder="1" applyAlignment="1">
      <alignment horizontal="center" vertical="center"/>
    </xf>
    <xf numFmtId="164" fontId="45" fillId="0" borderId="0" xfId="3" applyNumberFormat="1" applyFont="1" applyFill="1" applyBorder="1" applyAlignment="1">
      <alignment horizontal="center" vertical="center"/>
    </xf>
    <xf numFmtId="165" fontId="48" fillId="0" borderId="0" xfId="3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39" fillId="0" borderId="0" xfId="0" applyFont="1" applyFill="1"/>
    <xf numFmtId="0" fontId="45" fillId="0" borderId="0" xfId="0" applyFont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55" fillId="26" borderId="0" xfId="8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center" vertical="center"/>
    </xf>
    <xf numFmtId="165" fontId="45" fillId="27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/>
    </xf>
    <xf numFmtId="0" fontId="68" fillId="28" borderId="0" xfId="0" applyFont="1" applyFill="1" applyBorder="1"/>
    <xf numFmtId="0" fontId="67" fillId="28" borderId="0" xfId="0" applyFont="1" applyFill="1" applyBorder="1" applyAlignment="1">
      <alignment horizontal="center" vertical="center" wrapText="1"/>
    </xf>
    <xf numFmtId="0" fontId="67" fillId="28" borderId="0" xfId="0" applyFont="1" applyFill="1" applyBorder="1" applyAlignment="1">
      <alignment horizontal="center" vertical="center"/>
    </xf>
    <xf numFmtId="0" fontId="67" fillId="28" borderId="0" xfId="1" applyFont="1" applyFill="1" applyBorder="1" applyAlignment="1">
      <alignment horizontal="center" vertical="center" wrapText="1"/>
    </xf>
    <xf numFmtId="0" fontId="68" fillId="28" borderId="0" xfId="1" applyFont="1" applyFill="1" applyBorder="1" applyAlignment="1">
      <alignment horizontal="center"/>
    </xf>
    <xf numFmtId="49" fontId="48" fillId="27" borderId="0" xfId="81" applyNumberFormat="1" applyFont="1" applyFill="1" applyBorder="1" applyAlignment="1"/>
    <xf numFmtId="0" fontId="48" fillId="27" borderId="0" xfId="1" applyFont="1" applyFill="1" applyAlignment="1">
      <alignment horizontal="center" vertical="center"/>
    </xf>
    <xf numFmtId="165" fontId="48" fillId="27" borderId="0" xfId="1" applyNumberFormat="1" applyFont="1" applyFill="1" applyAlignment="1">
      <alignment horizontal="center" vertical="center"/>
    </xf>
    <xf numFmtId="0" fontId="48" fillId="27" borderId="0" xfId="1" applyFont="1" applyFill="1" applyAlignment="1">
      <alignment horizontal="center" vertical="center" wrapText="1"/>
    </xf>
    <xf numFmtId="165" fontId="48" fillId="27" borderId="0" xfId="1" applyNumberFormat="1" applyFont="1" applyFill="1" applyAlignment="1">
      <alignment horizontal="center" vertical="center" wrapText="1"/>
    </xf>
    <xf numFmtId="0" fontId="68" fillId="28" borderId="0" xfId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8" fillId="27" borderId="0" xfId="0" applyFont="1" applyFill="1" applyBorder="1"/>
    <xf numFmtId="0" fontId="48" fillId="27" borderId="0" xfId="0" applyFont="1" applyFill="1" applyBorder="1" applyAlignment="1">
      <alignment horizontal="right" vertical="center"/>
    </xf>
    <xf numFmtId="165" fontId="48" fillId="27" borderId="0" xfId="1" applyNumberFormat="1" applyFont="1" applyFill="1" applyAlignment="1">
      <alignment horizontal="center"/>
    </xf>
    <xf numFmtId="3" fontId="48" fillId="27" borderId="0" xfId="39" applyNumberFormat="1" applyFont="1" applyFill="1" applyBorder="1" applyAlignment="1"/>
    <xf numFmtId="3" fontId="48" fillId="27" borderId="0" xfId="39" applyNumberFormat="1" applyFont="1" applyFill="1" applyBorder="1" applyAlignment="1">
      <alignment horizontal="right" vertical="center"/>
    </xf>
    <xf numFmtId="165" fontId="48" fillId="27" borderId="0" xfId="0" applyNumberFormat="1" applyFont="1" applyFill="1" applyBorder="1" applyAlignment="1">
      <alignment horizontal="center" vertical="center"/>
    </xf>
    <xf numFmtId="0" fontId="45" fillId="27" borderId="0" xfId="0" applyFont="1" applyFill="1" applyBorder="1"/>
    <xf numFmtId="0" fontId="56" fillId="28" borderId="0" xfId="0" applyFont="1" applyFill="1" applyBorder="1"/>
    <xf numFmtId="0" fontId="70" fillId="28" borderId="0" xfId="0" applyFont="1" applyFill="1" applyBorder="1" applyAlignment="1"/>
    <xf numFmtId="0" fontId="71" fillId="28" borderId="0" xfId="0" applyFont="1" applyFill="1" applyBorder="1" applyAlignment="1">
      <alignment horizontal="center" vertical="center" wrapText="1"/>
    </xf>
    <xf numFmtId="0" fontId="67" fillId="28" borderId="0" xfId="0" applyFont="1" applyFill="1" applyBorder="1"/>
    <xf numFmtId="0" fontId="67" fillId="28" borderId="0" xfId="81" applyFont="1" applyFill="1" applyBorder="1" applyAlignment="1">
      <alignment horizontal="center" vertical="center" wrapText="1"/>
    </xf>
    <xf numFmtId="171" fontId="67" fillId="28" borderId="0" xfId="81" applyNumberFormat="1" applyFont="1" applyFill="1" applyBorder="1" applyAlignment="1">
      <alignment horizontal="center" vertical="center" wrapText="1"/>
    </xf>
    <xf numFmtId="0" fontId="57" fillId="26" borderId="0" xfId="81" applyFont="1" applyFill="1" applyBorder="1" applyAlignment="1">
      <alignment vertical="center" wrapText="1"/>
    </xf>
    <xf numFmtId="0" fontId="60" fillId="0" borderId="0" xfId="0" applyFont="1" applyBorder="1"/>
    <xf numFmtId="0" fontId="45" fillId="0" borderId="0" xfId="0" applyFont="1" applyFill="1" applyBorder="1" applyAlignment="1"/>
    <xf numFmtId="0" fontId="39" fillId="0" borderId="1" xfId="0" applyFont="1" applyBorder="1"/>
    <xf numFmtId="0" fontId="45" fillId="0" borderId="1" xfId="0" applyFont="1" applyFill="1" applyBorder="1"/>
    <xf numFmtId="165" fontId="45" fillId="0" borderId="1" xfId="0" applyNumberFormat="1" applyFont="1" applyFill="1" applyBorder="1" applyAlignment="1">
      <alignment horizontal="center" vertical="center"/>
    </xf>
    <xf numFmtId="165" fontId="45" fillId="27" borderId="1" xfId="0" applyNumberFormat="1" applyFont="1" applyFill="1" applyBorder="1" applyAlignment="1">
      <alignment horizontal="center" vertical="center"/>
    </xf>
    <xf numFmtId="0" fontId="45" fillId="0" borderId="1" xfId="0" applyFont="1" applyBorder="1"/>
    <xf numFmtId="0" fontId="50" fillId="0" borderId="0" xfId="0" applyFont="1" applyFill="1" applyBorder="1"/>
    <xf numFmtId="0" fontId="40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/>
    <xf numFmtId="0" fontId="67" fillId="0" borderId="0" xfId="0" applyFont="1" applyFill="1" applyBorder="1" applyAlignment="1">
      <alignment horizontal="center" vertical="center"/>
    </xf>
    <xf numFmtId="164" fontId="39" fillId="0" borderId="0" xfId="0" applyNumberFormat="1" applyFont="1" applyFill="1" applyBorder="1"/>
    <xf numFmtId="2" fontId="39" fillId="0" borderId="0" xfId="0" applyNumberFormat="1" applyFont="1"/>
    <xf numFmtId="2" fontId="45" fillId="0" borderId="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48" fillId="27" borderId="0" xfId="1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45" fillId="0" borderId="1" xfId="1" applyFont="1" applyBorder="1" applyAlignment="1">
      <alignment horizontal="center" vertical="center"/>
    </xf>
    <xf numFmtId="165" fontId="45" fillId="0" borderId="1" xfId="1" applyNumberFormat="1" applyFont="1" applyBorder="1" applyAlignment="1">
      <alignment horizontal="center" vertical="center"/>
    </xf>
    <xf numFmtId="0" fontId="60" fillId="0" borderId="0" xfId="0" applyFont="1"/>
    <xf numFmtId="0" fontId="60" fillId="0" borderId="0" xfId="0" applyFont="1" applyAlignment="1">
      <alignment horizontal="center"/>
    </xf>
    <xf numFmtId="49" fontId="48" fillId="27" borderId="0" xfId="81" applyNumberFormat="1" applyFont="1" applyFill="1" applyBorder="1" applyAlignment="1">
      <alignment horizontal="center"/>
    </xf>
    <xf numFmtId="0" fontId="66" fillId="0" borderId="0" xfId="1" applyFont="1"/>
    <xf numFmtId="0" fontId="53" fillId="26" borderId="0" xfId="81" applyFont="1" applyFill="1" applyBorder="1" applyAlignment="1">
      <alignment horizontal="center" vertical="center" wrapText="1"/>
    </xf>
    <xf numFmtId="0" fontId="57" fillId="26" borderId="0" xfId="8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1" xfId="0" applyFont="1" applyBorder="1" applyAlignment="1">
      <alignment horizontal="center"/>
    </xf>
    <xf numFmtId="0" fontId="45" fillId="0" borderId="1" xfId="0" applyFont="1" applyFill="1" applyBorder="1" applyAlignment="1"/>
    <xf numFmtId="164" fontId="45" fillId="0" borderId="1" xfId="3" applyNumberFormat="1" applyFont="1" applyFill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 wrapText="1"/>
    </xf>
    <xf numFmtId="49" fontId="48" fillId="27" borderId="0" xfId="81" applyNumberFormat="1" applyFont="1" applyFill="1" applyBorder="1" applyAlignment="1">
      <alignment horizontal="left"/>
    </xf>
    <xf numFmtId="164" fontId="48" fillId="27" borderId="0" xfId="1" applyNumberFormat="1" applyFont="1" applyFill="1" applyAlignment="1">
      <alignment horizontal="left"/>
    </xf>
    <xf numFmtId="1" fontId="48" fillId="27" borderId="0" xfId="1" applyNumberFormat="1" applyFont="1" applyFill="1" applyAlignment="1">
      <alignment horizontal="left"/>
    </xf>
    <xf numFmtId="165" fontId="48" fillId="27" borderId="0" xfId="81" applyNumberFormat="1" applyFont="1" applyFill="1" applyBorder="1" applyAlignment="1">
      <alignment horizontal="center"/>
    </xf>
    <xf numFmtId="2" fontId="48" fillId="27" borderId="0" xfId="1" applyNumberFormat="1" applyFont="1" applyFill="1" applyBorder="1" applyAlignment="1">
      <alignment horizontal="center" vertical="center"/>
    </xf>
    <xf numFmtId="171" fontId="48" fillId="27" borderId="0" xfId="1" applyNumberFormat="1" applyFont="1" applyFill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/>
    </xf>
    <xf numFmtId="166" fontId="48" fillId="27" borderId="0" xfId="3" applyNumberFormat="1" applyFont="1" applyFill="1" applyBorder="1" applyAlignment="1">
      <alignment horizontal="center" vertical="center" wrapText="1"/>
    </xf>
    <xf numFmtId="0" fontId="48" fillId="27" borderId="0" xfId="1" applyFont="1" applyFill="1" applyAlignment="1">
      <alignment horizontal="left" vertical="center" wrapText="1"/>
    </xf>
    <xf numFmtId="171" fontId="45" fillId="0" borderId="0" xfId="0" applyNumberFormat="1" applyFont="1" applyAlignment="1">
      <alignment horizontal="center"/>
    </xf>
    <xf numFmtId="171" fontId="48" fillId="27" borderId="0" xfId="0" applyNumberFormat="1" applyFont="1" applyFill="1" applyAlignment="1">
      <alignment horizontal="center"/>
    </xf>
    <xf numFmtId="0" fontId="66" fillId="0" borderId="1" xfId="0" applyFont="1" applyFill="1" applyBorder="1" applyAlignment="1">
      <alignment horizontal="left" vertical="center" wrapText="1"/>
    </xf>
    <xf numFmtId="171" fontId="45" fillId="0" borderId="1" xfId="0" applyNumberFormat="1" applyFont="1" applyBorder="1" applyAlignment="1">
      <alignment horizontal="center"/>
    </xf>
    <xf numFmtId="171" fontId="45" fillId="0" borderId="0" xfId="0" applyNumberFormat="1" applyFont="1" applyBorder="1" applyAlignment="1">
      <alignment horizontal="center"/>
    </xf>
    <xf numFmtId="165" fontId="45" fillId="0" borderId="0" xfId="1" quotePrefix="1" applyNumberFormat="1" applyFont="1" applyBorder="1" applyAlignment="1">
      <alignment horizontal="center" vertical="center"/>
    </xf>
    <xf numFmtId="165" fontId="45" fillId="0" borderId="1" xfId="1" quotePrefix="1" applyNumberFormat="1" applyFont="1" applyBorder="1" applyAlignment="1">
      <alignment horizontal="center" vertical="center"/>
    </xf>
    <xf numFmtId="0" fontId="45" fillId="0" borderId="1" xfId="1" applyFont="1" applyFill="1" applyBorder="1" applyAlignment="1">
      <alignment horizontal="left" indent="1"/>
    </xf>
    <xf numFmtId="0" fontId="45" fillId="0" borderId="1" xfId="1" applyFont="1" applyFill="1" applyBorder="1" applyAlignment="1">
      <alignment horizontal="right" vertical="center"/>
    </xf>
    <xf numFmtId="0" fontId="45" fillId="0" borderId="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171" fontId="45" fillId="0" borderId="1" xfId="3" applyNumberFormat="1" applyFont="1" applyFill="1" applyBorder="1" applyAlignment="1">
      <alignment horizontal="center" vertical="center"/>
    </xf>
    <xf numFmtId="165" fontId="45" fillId="0" borderId="1" xfId="3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/>
    </xf>
    <xf numFmtId="0" fontId="48" fillId="0" borderId="0" xfId="0" applyFont="1" applyFill="1"/>
    <xf numFmtId="171" fontId="48" fillId="0" borderId="0" xfId="3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71" fontId="72" fillId="27" borderId="14" xfId="81" applyNumberFormat="1" applyFont="1" applyFill="1" applyBorder="1" applyAlignment="1">
      <alignment horizontal="center" vertical="center" wrapText="1"/>
    </xf>
    <xf numFmtId="172" fontId="72" fillId="27" borderId="14" xfId="81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/>
    <xf numFmtId="0" fontId="39" fillId="0" borderId="0" xfId="0" applyFont="1" applyAlignment="1"/>
    <xf numFmtId="171" fontId="50" fillId="0" borderId="0" xfId="0" applyNumberFormat="1" applyFont="1"/>
    <xf numFmtId="170" fontId="48" fillId="2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28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169" fontId="45" fillId="0" borderId="0" xfId="1" applyNumberFormat="1" applyFont="1" applyFill="1" applyBorder="1" applyAlignment="1">
      <alignment vertical="center" wrapText="1"/>
    </xf>
    <xf numFmtId="165" fontId="48" fillId="27" borderId="0" xfId="0" quotePrefix="1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 wrapText="1"/>
    </xf>
    <xf numFmtId="0" fontId="67" fillId="28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165" fontId="48" fillId="27" borderId="1" xfId="0" applyNumberFormat="1" applyFont="1" applyFill="1" applyBorder="1" applyAlignment="1">
      <alignment horizontal="center" vertical="center"/>
    </xf>
    <xf numFmtId="169" fontId="45" fillId="0" borderId="0" xfId="1" applyNumberFormat="1" applyFont="1" applyFill="1" applyAlignment="1">
      <alignment horizontal="left" vertical="center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/>
    <xf numFmtId="0" fontId="72" fillId="0" borderId="0" xfId="38" applyFont="1" applyFill="1" applyBorder="1" applyAlignment="1">
      <alignment horizontal="center"/>
    </xf>
    <xf numFmtId="164" fontId="72" fillId="0" borderId="0" xfId="38" applyNumberFormat="1" applyFont="1" applyFill="1" applyBorder="1" applyAlignment="1">
      <alignment horizontal="right"/>
    </xf>
    <xf numFmtId="169" fontId="50" fillId="26" borderId="0" xfId="1" applyNumberFormat="1" applyFont="1" applyFill="1" applyAlignment="1"/>
    <xf numFmtId="164" fontId="50" fillId="0" borderId="0" xfId="3" applyNumberFormat="1" applyFont="1" applyFill="1" applyBorder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74" fillId="0" borderId="0" xfId="0" applyFont="1" applyAlignment="1">
      <alignment horizontal="center"/>
    </xf>
    <xf numFmtId="165" fontId="50" fillId="0" borderId="0" xfId="0" applyNumberFormat="1" applyFont="1" applyAlignment="1">
      <alignment horizontal="center" vertical="center" wrapText="1"/>
    </xf>
    <xf numFmtId="165" fontId="50" fillId="0" borderId="0" xfId="1" applyNumberFormat="1" applyFont="1" applyAlignment="1">
      <alignment horizontal="center" vertical="center"/>
    </xf>
    <xf numFmtId="170" fontId="50" fillId="0" borderId="0" xfId="0" applyNumberFormat="1" applyFont="1" applyFill="1" applyBorder="1"/>
    <xf numFmtId="0" fontId="47" fillId="0" borderId="0" xfId="0" applyFont="1" applyBorder="1" applyAlignment="1">
      <alignment horizontal="right" vertical="center" wrapText="1"/>
    </xf>
    <xf numFmtId="0" fontId="67" fillId="28" borderId="0" xfId="1" applyFont="1" applyFill="1" applyBorder="1" applyAlignment="1">
      <alignment horizontal="right" vertical="center" wrapText="1"/>
    </xf>
    <xf numFmtId="0" fontId="72" fillId="27" borderId="14" xfId="1" quotePrefix="1" applyFont="1" applyFill="1" applyBorder="1" applyAlignment="1">
      <alignment horizontal="right" vertical="center" wrapText="1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 horizontal="right"/>
    </xf>
    <xf numFmtId="171" fontId="45" fillId="0" borderId="1" xfId="0" quotePrefix="1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66" fillId="26" borderId="0" xfId="136" applyFont="1" applyFill="1" applyAlignment="1">
      <alignment vertical="center"/>
    </xf>
    <xf numFmtId="0" fontId="66" fillId="26" borderId="0" xfId="136" applyFont="1" applyFill="1" applyAlignment="1">
      <alignment horizontal="center" vertical="center"/>
    </xf>
    <xf numFmtId="0" fontId="72" fillId="26" borderId="0" xfId="136" applyFont="1" applyFill="1" applyAlignment="1">
      <alignment vertical="center"/>
    </xf>
    <xf numFmtId="0" fontId="66" fillId="26" borderId="0" xfId="136" applyFont="1" applyFill="1" applyAlignment="1">
      <alignment horizontal="left" vertical="center" indent="1"/>
    </xf>
    <xf numFmtId="171" fontId="66" fillId="26" borderId="0" xfId="136" applyNumberFormat="1" applyFont="1" applyFill="1" applyAlignment="1">
      <alignment horizontal="center" vertical="center"/>
    </xf>
    <xf numFmtId="165" fontId="66" fillId="26" borderId="0" xfId="137" applyNumberFormat="1" applyFont="1" applyFill="1" applyAlignment="1">
      <alignment horizontal="center" vertical="center"/>
    </xf>
    <xf numFmtId="171" fontId="66" fillId="26" borderId="0" xfId="136" applyNumberFormat="1" applyFont="1" applyFill="1" applyAlignment="1">
      <alignment horizontal="center"/>
    </xf>
    <xf numFmtId="165" fontId="66" fillId="26" borderId="0" xfId="138" applyNumberFormat="1" applyFont="1" applyFill="1" applyAlignment="1">
      <alignment horizontal="center" vertical="center"/>
    </xf>
    <xf numFmtId="171" fontId="66" fillId="26" borderId="0" xfId="136" applyNumberFormat="1" applyFont="1" applyFill="1" applyBorder="1" applyAlignment="1">
      <alignment horizontal="center" vertical="center"/>
    </xf>
    <xf numFmtId="0" fontId="66" fillId="26" borderId="0" xfId="136" applyFont="1" applyFill="1" applyBorder="1" applyAlignment="1">
      <alignment horizontal="left" vertical="center" indent="1"/>
    </xf>
    <xf numFmtId="0" fontId="66" fillId="0" borderId="0" xfId="136" applyFont="1" applyFill="1" applyAlignment="1">
      <alignment vertical="center"/>
    </xf>
    <xf numFmtId="0" fontId="77" fillId="0" borderId="0" xfId="136" applyFont="1" applyFill="1" applyAlignment="1">
      <alignment horizontal="left" vertical="center" wrapText="1" indent="1"/>
    </xf>
    <xf numFmtId="41" fontId="77" fillId="0" borderId="0" xfId="136" applyNumberFormat="1" applyFont="1" applyFill="1" applyAlignment="1">
      <alignment horizontal="center" vertical="center" wrapText="1"/>
    </xf>
    <xf numFmtId="173" fontId="77" fillId="0" borderId="0" xfId="138" applyNumberFormat="1" applyFont="1" applyFill="1" applyAlignment="1">
      <alignment horizontal="center" vertical="center" wrapText="1"/>
    </xf>
    <xf numFmtId="0" fontId="72" fillId="26" borderId="0" xfId="136" applyFont="1" applyFill="1" applyAlignment="1">
      <alignment horizontal="left" vertical="center" wrapText="1" indent="1"/>
    </xf>
    <xf numFmtId="3" fontId="72" fillId="26" borderId="0" xfId="136" applyNumberFormat="1" applyFont="1" applyFill="1" applyAlignment="1">
      <alignment horizontal="center" vertical="center" wrapText="1"/>
    </xf>
    <xf numFmtId="174" fontId="72" fillId="26" borderId="0" xfId="136" applyNumberFormat="1" applyFont="1" applyFill="1" applyAlignment="1">
      <alignment horizontal="center" vertical="center" wrapText="1"/>
    </xf>
    <xf numFmtId="171" fontId="66" fillId="26" borderId="0" xfId="136" applyNumberFormat="1" applyFont="1" applyFill="1" applyAlignment="1">
      <alignment horizontal="center" vertical="top"/>
    </xf>
    <xf numFmtId="41" fontId="66" fillId="26" borderId="0" xfId="136" applyNumberFormat="1" applyFont="1" applyFill="1" applyAlignment="1">
      <alignment horizontal="center" vertical="center"/>
    </xf>
    <xf numFmtId="171" fontId="77" fillId="0" borderId="0" xfId="136" applyNumberFormat="1" applyFont="1" applyFill="1" applyAlignment="1">
      <alignment horizontal="center" vertical="center" wrapText="1"/>
    </xf>
    <xf numFmtId="171" fontId="77" fillId="0" borderId="0" xfId="138" applyNumberFormat="1" applyFont="1" applyFill="1" applyAlignment="1">
      <alignment horizontal="center" vertical="center" wrapText="1"/>
    </xf>
    <xf numFmtId="171" fontId="66" fillId="0" borderId="0" xfId="136" applyNumberFormat="1" applyFont="1" applyFill="1" applyAlignment="1">
      <alignment vertical="center"/>
    </xf>
    <xf numFmtId="0" fontId="66" fillId="0" borderId="0" xfId="136" applyFont="1"/>
    <xf numFmtId="0" fontId="41" fillId="26" borderId="0" xfId="136" applyFont="1" applyFill="1" applyAlignment="1">
      <alignment vertical="center"/>
    </xf>
    <xf numFmtId="0" fontId="77" fillId="28" borderId="0" xfId="81" applyFont="1" applyFill="1" applyBorder="1" applyAlignment="1">
      <alignment horizontal="center" vertical="center" wrapText="1"/>
    </xf>
    <xf numFmtId="0" fontId="77" fillId="0" borderId="0" xfId="81" applyFont="1" applyFill="1" applyBorder="1" applyAlignment="1">
      <alignment vertical="center" wrapText="1"/>
    </xf>
    <xf numFmtId="0" fontId="50" fillId="0" borderId="0" xfId="0" applyFont="1" applyAlignment="1">
      <alignment horizontal="left" wrapText="1"/>
    </xf>
    <xf numFmtId="0" fontId="60" fillId="0" borderId="0" xfId="0" applyFont="1" applyFill="1" applyAlignment="1">
      <alignment horizontal="center"/>
    </xf>
    <xf numFmtId="0" fontId="54" fillId="0" borderId="0" xfId="81" applyFont="1" applyFill="1" applyBorder="1"/>
    <xf numFmtId="164" fontId="48" fillId="0" borderId="0" xfId="1" applyNumberFormat="1" applyFont="1" applyFill="1" applyAlignment="1">
      <alignment horizontal="center"/>
    </xf>
    <xf numFmtId="0" fontId="57" fillId="0" borderId="0" xfId="81" applyFont="1" applyFill="1" applyBorder="1" applyAlignment="1">
      <alignment vertical="center" wrapText="1"/>
    </xf>
    <xf numFmtId="0" fontId="57" fillId="0" borderId="0" xfId="81" applyFont="1" applyFill="1" applyBorder="1" applyAlignment="1">
      <alignment horizontal="center" vertical="center" wrapText="1"/>
    </xf>
    <xf numFmtId="0" fontId="67" fillId="28" borderId="0" xfId="0" applyFont="1" applyFill="1" applyBorder="1" applyAlignment="1">
      <alignment horizontal="center" vertical="center" wrapText="1"/>
    </xf>
    <xf numFmtId="0" fontId="67" fillId="28" borderId="0" xfId="0" applyFont="1" applyFill="1" applyBorder="1" applyAlignment="1">
      <alignment horizontal="center" vertical="center"/>
    </xf>
    <xf numFmtId="16" fontId="39" fillId="0" borderId="0" xfId="0" applyNumberFormat="1" applyFont="1" applyFill="1" applyBorder="1"/>
    <xf numFmtId="0" fontId="4" fillId="0" borderId="0" xfId="2"/>
    <xf numFmtId="0" fontId="60" fillId="0" borderId="0" xfId="0" applyFont="1" applyAlignment="1">
      <alignment horizontal="left"/>
    </xf>
    <xf numFmtId="0" fontId="48" fillId="27" borderId="0" xfId="88" applyNumberFormat="1" applyFont="1" applyFill="1" applyBorder="1" applyAlignment="1">
      <alignment horizontal="left" vertical="center"/>
    </xf>
    <xf numFmtId="0" fontId="48" fillId="27" borderId="1" xfId="88" applyNumberFormat="1" applyFont="1" applyFill="1" applyBorder="1" applyAlignment="1">
      <alignment horizontal="left" vertical="center"/>
    </xf>
    <xf numFmtId="164" fontId="45" fillId="27" borderId="0" xfId="88" applyNumberFormat="1" applyFont="1" applyFill="1" applyBorder="1" applyAlignment="1">
      <alignment horizontal="center" vertical="center"/>
    </xf>
    <xf numFmtId="164" fontId="45" fillId="27" borderId="0" xfId="1" applyNumberFormat="1" applyFont="1" applyFill="1" applyAlignment="1">
      <alignment horizontal="center"/>
    </xf>
    <xf numFmtId="164" fontId="45" fillId="0" borderId="0" xfId="1" applyNumberFormat="1" applyFont="1" applyFill="1" applyAlignment="1">
      <alignment horizontal="center"/>
    </xf>
    <xf numFmtId="171" fontId="45" fillId="27" borderId="1" xfId="0" applyNumberFormat="1" applyFont="1" applyFill="1" applyBorder="1" applyAlignment="1">
      <alignment horizontal="center"/>
    </xf>
    <xf numFmtId="171" fontId="45" fillId="0" borderId="1" xfId="0" applyNumberFormat="1" applyFont="1" applyFill="1" applyBorder="1" applyAlignment="1">
      <alignment horizontal="center"/>
    </xf>
    <xf numFmtId="170" fontId="45" fillId="0" borderId="1" xfId="0" applyNumberFormat="1" applyFont="1" applyFill="1" applyBorder="1" applyAlignment="1">
      <alignment horizontal="center"/>
    </xf>
    <xf numFmtId="164" fontId="45" fillId="0" borderId="1" xfId="88" applyNumberFormat="1" applyFont="1" applyFill="1" applyBorder="1" applyAlignment="1">
      <alignment horizontal="center" vertical="center"/>
    </xf>
    <xf numFmtId="164" fontId="45" fillId="0" borderId="0" xfId="38" applyNumberFormat="1" applyFont="1" applyFill="1" applyBorder="1" applyAlignment="1">
      <alignment horizontal="center" vertical="center"/>
    </xf>
    <xf numFmtId="166" fontId="48" fillId="27" borderId="0" xfId="39" applyNumberFormat="1" applyFont="1" applyFill="1" applyBorder="1" applyAlignment="1">
      <alignment horizontal="center" vertical="center"/>
    </xf>
    <xf numFmtId="164" fontId="45" fillId="0" borderId="1" xfId="38" applyNumberFormat="1" applyFont="1" applyFill="1" applyBorder="1" applyAlignment="1">
      <alignment horizontal="center" vertical="center"/>
    </xf>
    <xf numFmtId="170" fontId="45" fillId="0" borderId="0" xfId="38" applyNumberFormat="1" applyFont="1" applyFill="1" applyBorder="1" applyAlignment="1">
      <alignment horizontal="center" vertical="center"/>
    </xf>
    <xf numFmtId="170" fontId="45" fillId="0" borderId="0" xfId="39" applyNumberFormat="1" applyFont="1" applyFill="1" applyBorder="1" applyAlignment="1">
      <alignment horizontal="center"/>
    </xf>
    <xf numFmtId="170" fontId="48" fillId="27" borderId="0" xfId="1" applyNumberFormat="1" applyFont="1" applyFill="1" applyBorder="1" applyAlignment="1">
      <alignment horizontal="center"/>
    </xf>
    <xf numFmtId="170" fontId="45" fillId="0" borderId="1" xfId="38" applyNumberFormat="1" applyFont="1" applyFill="1" applyBorder="1" applyAlignment="1">
      <alignment horizontal="center" vertical="center"/>
    </xf>
    <xf numFmtId="170" fontId="66" fillId="0" borderId="0" xfId="0" applyNumberFormat="1" applyFont="1" applyFill="1" applyBorder="1" applyAlignment="1">
      <alignment horizontal="center"/>
    </xf>
    <xf numFmtId="170" fontId="48" fillId="27" borderId="0" xfId="1" applyNumberFormat="1" applyFont="1" applyFill="1" applyAlignment="1">
      <alignment horizontal="center" vertical="center"/>
    </xf>
    <xf numFmtId="170" fontId="66" fillId="0" borderId="1" xfId="0" applyNumberFormat="1" applyFont="1" applyFill="1" applyBorder="1" applyAlignment="1">
      <alignment horizontal="center"/>
    </xf>
    <xf numFmtId="170" fontId="45" fillId="0" borderId="0" xfId="1" applyNumberFormat="1" applyFont="1" applyAlignment="1">
      <alignment horizontal="center" vertical="center"/>
    </xf>
    <xf numFmtId="170" fontId="45" fillId="0" borderId="1" xfId="1" applyNumberFormat="1" applyFont="1" applyBorder="1" applyAlignment="1">
      <alignment horizontal="center" vertical="center"/>
    </xf>
    <xf numFmtId="171" fontId="48" fillId="27" borderId="0" xfId="3" applyNumberFormat="1" applyFont="1" applyFill="1" applyBorder="1" applyAlignment="1">
      <alignment horizontal="center" vertical="center" wrapText="1"/>
    </xf>
    <xf numFmtId="171" fontId="48" fillId="27" borderId="0" xfId="1" applyNumberFormat="1" applyFont="1" applyFill="1" applyAlignment="1">
      <alignment horizontal="center" vertical="center" wrapText="1"/>
    </xf>
    <xf numFmtId="171" fontId="45" fillId="0" borderId="0" xfId="1" applyNumberFormat="1" applyFont="1" applyBorder="1" applyAlignment="1">
      <alignment horizontal="center" vertical="center"/>
    </xf>
    <xf numFmtId="171" fontId="45" fillId="0" borderId="0" xfId="1" applyNumberFormat="1" applyFont="1" applyAlignment="1">
      <alignment horizontal="center" vertical="center"/>
    </xf>
    <xf numFmtId="171" fontId="48" fillId="27" borderId="0" xfId="3" applyNumberFormat="1" applyFont="1" applyFill="1" applyBorder="1" applyAlignment="1">
      <alignment horizontal="center" vertical="center"/>
    </xf>
    <xf numFmtId="171" fontId="45" fillId="0" borderId="0" xfId="1" applyNumberFormat="1" applyFont="1" applyAlignment="1">
      <alignment horizontal="center"/>
    </xf>
    <xf numFmtId="171" fontId="45" fillId="0" borderId="0" xfId="3" quotePrefix="1" applyNumberFormat="1" applyFont="1" applyFill="1" applyBorder="1" applyAlignment="1">
      <alignment horizontal="center" vertical="center"/>
    </xf>
    <xf numFmtId="171" fontId="45" fillId="0" borderId="1" xfId="3" quotePrefix="1" applyNumberFormat="1" applyFont="1" applyFill="1" applyBorder="1" applyAlignment="1">
      <alignment horizontal="center" vertical="center"/>
    </xf>
    <xf numFmtId="171" fontId="45" fillId="0" borderId="1" xfId="1" applyNumberFormat="1" applyFont="1" applyBorder="1" applyAlignment="1">
      <alignment horizontal="center" vertical="center"/>
    </xf>
    <xf numFmtId="171" fontId="77" fillId="28" borderId="0" xfId="81" applyNumberFormat="1" applyFont="1" applyFill="1" applyBorder="1" applyAlignment="1">
      <alignment horizontal="center" vertical="center" wrapText="1"/>
    </xf>
    <xf numFmtId="171" fontId="43" fillId="27" borderId="0" xfId="0" applyNumberFormat="1" applyFont="1" applyFill="1" applyBorder="1" applyAlignment="1">
      <alignment horizontal="center" vertical="center" wrapText="1"/>
    </xf>
    <xf numFmtId="171" fontId="66" fillId="0" borderId="0" xfId="0" applyNumberFormat="1" applyFont="1" applyBorder="1" applyAlignment="1">
      <alignment horizontal="center" vertical="center"/>
    </xf>
    <xf numFmtId="171" fontId="45" fillId="0" borderId="0" xfId="0" applyNumberFormat="1" applyFont="1" applyBorder="1" applyAlignment="1">
      <alignment horizontal="center" vertical="center"/>
    </xf>
    <xf numFmtId="171" fontId="45" fillId="0" borderId="0" xfId="0" applyNumberFormat="1" applyFont="1" applyAlignment="1">
      <alignment horizontal="center" vertical="center"/>
    </xf>
    <xf numFmtId="171" fontId="48" fillId="27" borderId="0" xfId="0" applyNumberFormat="1" applyFont="1" applyFill="1" applyBorder="1" applyAlignment="1">
      <alignment horizontal="center" vertical="center"/>
    </xf>
    <xf numFmtId="171" fontId="66" fillId="0" borderId="0" xfId="0" applyNumberFormat="1" applyFont="1" applyAlignment="1">
      <alignment horizontal="center" vertical="center"/>
    </xf>
    <xf numFmtId="171" fontId="45" fillId="0" borderId="0" xfId="0" applyNumberFormat="1" applyFont="1" applyFill="1" applyAlignment="1">
      <alignment horizontal="center" vertical="center"/>
    </xf>
    <xf numFmtId="171" fontId="48" fillId="27" borderId="1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left" vertical="center" wrapText="1"/>
    </xf>
    <xf numFmtId="0" fontId="67" fillId="28" borderId="0" xfId="0" applyFont="1" applyFill="1" applyBorder="1" applyAlignment="1">
      <alignment horizontal="center" vertical="center" wrapText="1"/>
    </xf>
    <xf numFmtId="0" fontId="67" fillId="28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67" fillId="28" borderId="0" xfId="0" applyFont="1" applyFill="1" applyBorder="1" applyAlignment="1">
      <alignment horizontal="center" vertical="center"/>
    </xf>
    <xf numFmtId="0" fontId="67" fillId="28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41" fillId="0" borderId="0" xfId="0" applyFont="1" applyFill="1" applyBorder="1" applyAlignment="1">
      <alignment horizontal="center" vertical="center"/>
    </xf>
    <xf numFmtId="0" fontId="51" fillId="0" borderId="0" xfId="2" applyFont="1" applyAlignment="1">
      <alignment horizontal="left" wrapText="1"/>
    </xf>
    <xf numFmtId="0" fontId="67" fillId="28" borderId="0" xfId="8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49" fontId="48" fillId="27" borderId="0" xfId="81" applyNumberFormat="1" applyFont="1" applyFill="1" applyBorder="1" applyAlignment="1">
      <alignment horizontal="left" wrapText="1"/>
    </xf>
    <xf numFmtId="0" fontId="77" fillId="28" borderId="14" xfId="81" applyFont="1" applyFill="1" applyBorder="1" applyAlignment="1">
      <alignment horizontal="center" vertical="center" wrapText="1"/>
    </xf>
    <xf numFmtId="0" fontId="77" fillId="28" borderId="0" xfId="81" applyFont="1" applyFill="1" applyBorder="1" applyAlignment="1">
      <alignment horizontal="center" vertical="center" wrapText="1"/>
    </xf>
    <xf numFmtId="0" fontId="66" fillId="26" borderId="0" xfId="136" applyFont="1" applyFill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72" fillId="27" borderId="14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0" fontId="48" fillId="27" borderId="1" xfId="0" applyFont="1" applyFill="1" applyBorder="1" applyAlignment="1">
      <alignment horizontal="center" vertical="center"/>
    </xf>
    <xf numFmtId="0" fontId="43" fillId="27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5" fontId="45" fillId="0" borderId="0" xfId="0" applyNumberFormat="1" applyFont="1" applyFill="1" applyBorder="1" applyAlignment="1">
      <alignment horizontal="center" vertical="center"/>
    </xf>
    <xf numFmtId="0" fontId="80" fillId="26" borderId="0" xfId="136" applyFont="1" applyFill="1" applyAlignment="1">
      <alignment vertical="center"/>
    </xf>
    <xf numFmtId="0" fontId="80" fillId="26" borderId="0" xfId="136" applyFont="1" applyFill="1" applyAlignment="1">
      <alignment horizontal="center" vertical="center"/>
    </xf>
    <xf numFmtId="0" fontId="50" fillId="0" borderId="0" xfId="0" applyFont="1" applyAlignment="1"/>
    <xf numFmtId="0" fontId="82" fillId="0" borderId="0" xfId="2" applyFont="1"/>
    <xf numFmtId="0" fontId="82" fillId="0" borderId="0" xfId="2" applyFont="1" applyBorder="1" applyAlignment="1">
      <alignment vertical="center" wrapText="1"/>
    </xf>
    <xf numFmtId="0" fontId="82" fillId="0" borderId="0" xfId="2" applyFont="1" applyBorder="1" applyAlignment="1">
      <alignment horizontal="right" vertical="center" wrapText="1"/>
    </xf>
    <xf numFmtId="0" fontId="60" fillId="0" borderId="0" xfId="0" applyFont="1" applyBorder="1" applyAlignment="1"/>
    <xf numFmtId="0" fontId="60" fillId="0" borderId="0" xfId="0" applyFont="1" applyAlignment="1"/>
    <xf numFmtId="0" fontId="60" fillId="0" borderId="0" xfId="0" applyFont="1" applyBorder="1" applyAlignment="1">
      <alignment vertical="center"/>
    </xf>
  </cellXfs>
  <cellStyles count="141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 2" xfId="94"/>
    <cellStyle name="20% - Énfasis2 2" xfId="95"/>
    <cellStyle name="20% - Énfasis3 2" xfId="96"/>
    <cellStyle name="20% - Énfasis4 2" xfId="97"/>
    <cellStyle name="20% - Énfasis5 2" xfId="98"/>
    <cellStyle name="20% - Énfasis6 2" xfId="99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 2" xfId="100"/>
    <cellStyle name="40% - Énfasis2 2" xfId="101"/>
    <cellStyle name="40% - Énfasis3 2" xfId="102"/>
    <cellStyle name="40% - Énfasis4 2" xfId="103"/>
    <cellStyle name="40% - Énfasis5 2" xfId="104"/>
    <cellStyle name="40% - Énfasis6 2" xfId="105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 2" xfId="106"/>
    <cellStyle name="60% - Énfasis2 2" xfId="107"/>
    <cellStyle name="60% - Énfasis3 2" xfId="108"/>
    <cellStyle name="60% - Énfasis4 2" xfId="109"/>
    <cellStyle name="60% - Énfasis5 2" xfId="110"/>
    <cellStyle name="60% - Énfasis6 2" xfId="111"/>
    <cellStyle name="Accent1" xfId="59"/>
    <cellStyle name="Accent2" xfId="60"/>
    <cellStyle name="Accent3" xfId="61"/>
    <cellStyle name="Accent4" xfId="62"/>
    <cellStyle name="Accent5" xfId="63"/>
    <cellStyle name="Accent6" xfId="64"/>
    <cellStyle name="annee semestre" xfId="4"/>
    <cellStyle name="Bad" xfId="65"/>
    <cellStyle name="Buena 2" xfId="122"/>
    <cellStyle name="Calculation" xfId="66"/>
    <cellStyle name="Cálculo 2" xfId="119"/>
    <cellStyle name="Celda de comprobación 2" xfId="120"/>
    <cellStyle name="Celda vinculada 2" xfId="128"/>
    <cellStyle name="Check Cell" xfId="67"/>
    <cellStyle name="clsAltData" xfId="5"/>
    <cellStyle name="clsColumnHeader" xfId="6"/>
    <cellStyle name="clsData" xfId="7"/>
    <cellStyle name="clsDefault" xfId="8"/>
    <cellStyle name="clsRowHeader" xfId="9"/>
    <cellStyle name="Comma 2" xfId="10"/>
    <cellStyle name="données" xfId="11"/>
    <cellStyle name="donnéesbord" xfId="12"/>
    <cellStyle name="Encabezado 4 2" xfId="126"/>
    <cellStyle name="Énfasis1 2" xfId="112"/>
    <cellStyle name="Énfasis2 2" xfId="113"/>
    <cellStyle name="Énfasis3 2" xfId="114"/>
    <cellStyle name="Énfasis4 2" xfId="115"/>
    <cellStyle name="Énfasis5 2" xfId="116"/>
    <cellStyle name="Énfasis6 2" xfId="117"/>
    <cellStyle name="Entrada 2" xfId="127"/>
    <cellStyle name="Explanatory Text" xfId="69"/>
    <cellStyle name="Good" xfId="70"/>
    <cellStyle name="H1" xfId="13"/>
    <cellStyle name="H2" xfId="14"/>
    <cellStyle name="H3" xfId="15"/>
    <cellStyle name="H4" xfId="16"/>
    <cellStyle name="H5" xfId="17"/>
    <cellStyle name="Heading 1" xfId="71"/>
    <cellStyle name="Heading 2" xfId="72"/>
    <cellStyle name="Heading 3" xfId="73"/>
    <cellStyle name="Heading 4" xfId="74"/>
    <cellStyle name="Hipervínculo" xfId="2" builtinId="8"/>
    <cellStyle name="Hipervínculo 2" xfId="37"/>
    <cellStyle name="Hipervínculo 2 2" xfId="40"/>
    <cellStyle name="Hipervínculo 2 2 2" xfId="89"/>
    <cellStyle name="Hipervínculo 3" xfId="86"/>
    <cellStyle name="Hipervínculo 4" xfId="133"/>
    <cellStyle name="Hyperlink 2" xfId="18"/>
    <cellStyle name="Îáű÷íűé_ÂŰŐÎÄ" xfId="19"/>
    <cellStyle name="Incorrecto 2" xfId="118"/>
    <cellStyle name="Input" xfId="75"/>
    <cellStyle name="Linked Cell" xfId="76"/>
    <cellStyle name="Millares 2" xfId="68"/>
    <cellStyle name="Millares 2 2" xfId="90"/>
    <cellStyle name="Neutral 2" xfId="20"/>
    <cellStyle name="Normal" xfId="0" builtinId="0"/>
    <cellStyle name="Normal 2" xfId="1"/>
    <cellStyle name="Normal 2 2" xfId="22"/>
    <cellStyle name="Normal 2 2 2" xfId="135"/>
    <cellStyle name="Normal 2 3" xfId="21"/>
    <cellStyle name="Normal 2 4" xfId="3"/>
    <cellStyle name="Normal 2 4 2" xfId="38"/>
    <cellStyle name="Normal 2 4 2 2" xfId="88"/>
    <cellStyle name="Normal 2 5" xfId="136"/>
    <cellStyle name="Normal 20" xfId="140"/>
    <cellStyle name="Normal 3" xfId="23"/>
    <cellStyle name="Normal 4" xfId="24"/>
    <cellStyle name="Normal 5" xfId="82"/>
    <cellStyle name="Normal 5 2" xfId="84"/>
    <cellStyle name="Normal 5 2 2" xfId="93"/>
    <cellStyle name="Normal 5 3" xfId="92"/>
    <cellStyle name="Normal 5 4" xfId="85"/>
    <cellStyle name="Normal 5 5" xfId="134"/>
    <cellStyle name="Normal 6" xfId="83"/>
    <cellStyle name="Normal 6 2" xfId="87"/>
    <cellStyle name="Normal 7" xfId="139"/>
    <cellStyle name="Normal_CONSTANT 2" xfId="39"/>
    <cellStyle name="Normal_REMESAS" xfId="81"/>
    <cellStyle name="normální 2" xfId="25"/>
    <cellStyle name="normální 2 2" xfId="26"/>
    <cellStyle name="normální_povolenikpopbytudlezemipuvodu942000" xfId="27"/>
    <cellStyle name="Notas 2" xfId="129"/>
    <cellStyle name="Note" xfId="77"/>
    <cellStyle name="Note 2" xfId="91"/>
    <cellStyle name="notes" xfId="28"/>
    <cellStyle name="Output" xfId="78"/>
    <cellStyle name="Percent 2" xfId="29"/>
    <cellStyle name="Porcentaje 2" xfId="137"/>
    <cellStyle name="Porcentaje 2 2" xfId="138"/>
    <cellStyle name="Salida 2" xfId="130"/>
    <cellStyle name="semestre" xfId="30"/>
    <cellStyle name="Style 27" xfId="31"/>
    <cellStyle name="Style 35" xfId="32"/>
    <cellStyle name="Style 36" xfId="33"/>
    <cellStyle name="tête chapitre" xfId="34"/>
    <cellStyle name="Texto de advertencia 2" xfId="132"/>
    <cellStyle name="Texto explicativo 2" xfId="121"/>
    <cellStyle name="Title" xfId="79"/>
    <cellStyle name="titre" xfId="35"/>
    <cellStyle name="Título 1 2" xfId="123"/>
    <cellStyle name="Título 2 2" xfId="124"/>
    <cellStyle name="Título 3 2" xfId="125"/>
    <cellStyle name="Título 4" xfId="131"/>
    <cellStyle name="Total 2" xfId="36"/>
    <cellStyle name="Warning Text" xfId="80"/>
  </cellStyles>
  <dxfs count="0"/>
  <tableStyles count="0" defaultTableStyle="TableStyleMedium2" defaultPivotStyle="PivotStyleLight16"/>
  <colors>
    <mruColors>
      <color rgb="FFD4C19C"/>
      <color rgb="FF9D2449"/>
      <color rgb="FF621132"/>
      <color rgb="FF285C4D"/>
      <color rgb="FF13322B"/>
      <color rgb="FFD2D2D2"/>
      <color rgb="FFAAAAAA"/>
      <color rgb="FFFF00FF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563727</xdr:colOff>
      <xdr:row>2</xdr:row>
      <xdr:rowOff>71613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1727" cy="452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25977</xdr:rowOff>
    </xdr:from>
    <xdr:to>
      <xdr:col>4</xdr:col>
      <xdr:colOff>840818</xdr:colOff>
      <xdr:row>1</xdr:row>
      <xdr:rowOff>201499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77"/>
          <a:ext cx="3611727" cy="4526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510810</xdr:colOff>
      <xdr:row>2</xdr:row>
      <xdr:rowOff>29280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1727" cy="4526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20802</xdr:colOff>
      <xdr:row>1</xdr:row>
      <xdr:rowOff>147813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1727" cy="4526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239877</xdr:colOff>
      <xdr:row>1</xdr:row>
      <xdr:rowOff>147813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1727" cy="4526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1449552</xdr:colOff>
      <xdr:row>2</xdr:row>
      <xdr:rowOff>23988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3611727" cy="404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601827</xdr:colOff>
      <xdr:row>2</xdr:row>
      <xdr:rowOff>71613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1727" cy="4526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34636</xdr:rowOff>
    </xdr:from>
    <xdr:to>
      <xdr:col>3</xdr:col>
      <xdr:colOff>798388</xdr:colOff>
      <xdr:row>2</xdr:row>
      <xdr:rowOff>36976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36"/>
          <a:ext cx="3611727" cy="4526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PP2004_EXCEL_FILES/DB02_Stock_Indicators/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un.org/en/development/desa/population/migration/data/estimates2/data/UN_MigrantStockByAgeAndSex_2019.xlsx" TargetMode="External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A18"/>
  <sheetViews>
    <sheetView tabSelected="1" workbookViewId="0">
      <selection activeCell="D24" sqref="D24"/>
    </sheetView>
  </sheetViews>
  <sheetFormatPr baseColWidth="10" defaultRowHeight="15" x14ac:dyDescent="0.25"/>
  <sheetData>
    <row r="4" spans="1:1" ht="18" x14ac:dyDescent="0.35">
      <c r="A4" s="120" t="s">
        <v>363</v>
      </c>
    </row>
    <row r="5" spans="1:1" ht="18" x14ac:dyDescent="0.35">
      <c r="A5" s="1"/>
    </row>
    <row r="6" spans="1:1" ht="18" x14ac:dyDescent="0.35">
      <c r="A6" s="301" t="s">
        <v>352</v>
      </c>
    </row>
    <row r="7" spans="1:1" ht="18" x14ac:dyDescent="0.35">
      <c r="A7" s="1"/>
    </row>
    <row r="8" spans="1:1" ht="18" x14ac:dyDescent="0.35">
      <c r="A8" s="301" t="s">
        <v>353</v>
      </c>
    </row>
    <row r="9" spans="1:1" ht="18" x14ac:dyDescent="0.35">
      <c r="A9" s="1"/>
    </row>
    <row r="10" spans="1:1" ht="18" x14ac:dyDescent="0.35">
      <c r="A10" s="301" t="s">
        <v>347</v>
      </c>
    </row>
    <row r="11" spans="1:1" ht="18" x14ac:dyDescent="0.35">
      <c r="A11" s="1"/>
    </row>
    <row r="12" spans="1:1" ht="18" x14ac:dyDescent="0.35">
      <c r="A12" s="301" t="s">
        <v>346</v>
      </c>
    </row>
    <row r="13" spans="1:1" ht="18" x14ac:dyDescent="0.35">
      <c r="A13" s="1"/>
    </row>
    <row r="14" spans="1:1" ht="18" x14ac:dyDescent="0.35">
      <c r="A14" s="301" t="s">
        <v>348</v>
      </c>
    </row>
    <row r="15" spans="1:1" ht="18" x14ac:dyDescent="0.35">
      <c r="A15" s="1"/>
    </row>
    <row r="16" spans="1:1" ht="18" x14ac:dyDescent="0.35">
      <c r="A16" s="301" t="s">
        <v>340</v>
      </c>
    </row>
    <row r="17" spans="1:1" ht="18" x14ac:dyDescent="0.35">
      <c r="A17" s="1"/>
    </row>
    <row r="18" spans="1:1" x14ac:dyDescent="0.25">
      <c r="A18" s="233" t="s">
        <v>349</v>
      </c>
    </row>
  </sheetData>
  <hyperlinks>
    <hyperlink ref="A6" location="'1.1. Tot. Pob mund y mig'!A1" display="1.1. Total de población mundial y migrante según sexo y nivel de desarrollo regional de destino, 1960 - 2019"/>
    <hyperlink ref="A8" location="'1.2 Pob migr. Grupos de edad'!A1" display="1.2. Población migrante internacional según sexo y grupos de edad, 2019"/>
    <hyperlink ref="A10" location="'1.3 Pob Inmg por país'!A1" display="1.3. Población mundial e inmigrantes según sexo por país de destino, 2019"/>
    <hyperlink ref="A12" location="'1.4.Pob Emig por país'!A1" display="1.4. Población mundial y emigrante según sexo por país de origen, 2019"/>
    <hyperlink ref="A14" location="'1.5. Regiones mig.int'!A1" display="1.5. Regiones de origen y destino de la población migrante internacional, 2019"/>
    <hyperlink ref="A16" location="'1.6. Stock Corredores'!A1" display="1.6. Stock migratorio de los corredores migratorios mundiales (origen - destino) con flujos superiores a 1 millón de personas, 2019"/>
    <hyperlink ref="A18" location="'1.7. Prin. Corredores por Dir.'!A1" display="1.7. Los cinco principales corredores migratorios en las cuatro direcciones de la migración, 2019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showGridLines="0" zoomScale="110" zoomScaleNormal="110" workbookViewId="0">
      <selection activeCell="Q4" sqref="Q4"/>
    </sheetView>
  </sheetViews>
  <sheetFormatPr baseColWidth="10" defaultColWidth="11.42578125" defaultRowHeight="18" x14ac:dyDescent="0.35"/>
  <cols>
    <col min="1" max="1" width="2.85546875" style="1" customWidth="1"/>
    <col min="2" max="2" width="10.28515625" style="1" customWidth="1"/>
    <col min="3" max="3" width="13.28515625" style="1" customWidth="1"/>
    <col min="4" max="4" width="15.140625" style="1" customWidth="1"/>
    <col min="5" max="5" width="15.7109375" style="1" customWidth="1"/>
    <col min="6" max="6" width="13.5703125" style="1" customWidth="1"/>
    <col min="7" max="7" width="3" style="1" customWidth="1"/>
    <col min="8" max="8" width="15.140625" style="1" customWidth="1"/>
    <col min="9" max="9" width="15.7109375" style="1" customWidth="1"/>
    <col min="10" max="10" width="2.7109375" style="63" customWidth="1"/>
    <col min="11" max="11" width="13" style="1" customWidth="1"/>
    <col min="12" max="12" width="13.28515625" style="1" customWidth="1"/>
    <col min="13" max="13" width="11.7109375" style="1" customWidth="1"/>
    <col min="14" max="14" width="21" style="1" customWidth="1"/>
    <col min="15" max="15" width="3.140625" style="1" customWidth="1"/>
    <col min="16" max="16" width="15.85546875" style="1" customWidth="1"/>
    <col min="17" max="17" width="16.85546875" style="1" customWidth="1"/>
    <col min="18" max="18" width="11.7109375" style="1" bestFit="1" customWidth="1"/>
    <col min="19" max="19" width="11.42578125" style="1"/>
    <col min="20" max="20" width="11.7109375" style="1" bestFit="1" customWidth="1"/>
    <col min="21" max="21" width="17.140625" style="1" bestFit="1" customWidth="1"/>
    <col min="22" max="16384" width="11.42578125" style="1"/>
  </cols>
  <sheetData>
    <row r="1" spans="1:28" ht="21.75" x14ac:dyDescent="0.35">
      <c r="E1" s="2"/>
      <c r="F1" s="2"/>
      <c r="G1" s="2"/>
      <c r="H1" s="2"/>
      <c r="I1" s="2"/>
      <c r="J1" s="105"/>
      <c r="K1" s="2"/>
      <c r="L1" s="2"/>
      <c r="M1" s="2"/>
    </row>
    <row r="2" spans="1:28" ht="21.75" customHeight="1" x14ac:dyDescent="0.35">
      <c r="B2" s="3"/>
      <c r="C2" s="3"/>
      <c r="D2" s="3"/>
      <c r="E2" s="19"/>
      <c r="F2" s="82"/>
      <c r="G2" s="82"/>
      <c r="H2" s="82"/>
      <c r="I2" s="82"/>
      <c r="J2" s="106"/>
      <c r="K2" s="82"/>
      <c r="L2" s="82"/>
      <c r="M2" s="82"/>
      <c r="N2" s="82"/>
      <c r="O2" s="82"/>
      <c r="P2" s="82"/>
      <c r="Q2" s="82"/>
    </row>
    <row r="3" spans="1:28" ht="17.25" customHeight="1" x14ac:dyDescent="0.35">
      <c r="B3" s="3"/>
      <c r="C3" s="3"/>
      <c r="D3" s="3"/>
      <c r="E3" s="19"/>
      <c r="F3" s="82"/>
      <c r="G3" s="82"/>
      <c r="H3" s="82"/>
      <c r="I3" s="82"/>
      <c r="J3" s="106"/>
      <c r="K3" s="82"/>
      <c r="L3" s="82"/>
      <c r="M3" s="82"/>
      <c r="N3" s="82"/>
      <c r="O3" s="82"/>
      <c r="P3" s="82"/>
    </row>
    <row r="4" spans="1:28" ht="17.25" customHeight="1" x14ac:dyDescent="0.35">
      <c r="B4" s="304" t="s">
        <v>352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2" t="s">
        <v>363</v>
      </c>
    </row>
    <row r="5" spans="1:28" ht="17.25" customHeight="1" x14ac:dyDescent="0.35">
      <c r="B5" s="3"/>
      <c r="C5" s="3"/>
      <c r="D5" s="3"/>
      <c r="E5" s="19"/>
      <c r="F5" s="65"/>
      <c r="G5" s="65"/>
      <c r="H5" s="65"/>
      <c r="I5" s="65"/>
      <c r="J5" s="107"/>
      <c r="K5" s="65"/>
      <c r="L5" s="65"/>
      <c r="M5" s="65"/>
      <c r="N5" s="65"/>
      <c r="O5" s="65"/>
      <c r="P5" s="65"/>
      <c r="Q5" s="65"/>
    </row>
    <row r="6" spans="1:28" ht="26.25" customHeight="1" x14ac:dyDescent="0.35">
      <c r="A6" s="3"/>
      <c r="B6" s="278" t="s">
        <v>17</v>
      </c>
      <c r="C6" s="279" t="s">
        <v>70</v>
      </c>
      <c r="D6" s="279"/>
      <c r="E6" s="279"/>
      <c r="F6" s="279"/>
      <c r="G6" s="279"/>
      <c r="H6" s="279"/>
      <c r="I6" s="279"/>
      <c r="J6" s="108"/>
      <c r="K6" s="279" t="s">
        <v>92</v>
      </c>
      <c r="L6" s="279"/>
      <c r="M6" s="279"/>
      <c r="N6" s="279"/>
      <c r="O6" s="279"/>
      <c r="P6" s="279"/>
      <c r="Q6" s="279"/>
      <c r="R6" s="3"/>
    </row>
    <row r="7" spans="1:28" ht="15" customHeight="1" x14ac:dyDescent="0.35">
      <c r="A7" s="3"/>
      <c r="B7" s="278"/>
      <c r="C7" s="275" t="s">
        <v>59</v>
      </c>
      <c r="D7" s="275" t="s">
        <v>60</v>
      </c>
      <c r="E7" s="278" t="s">
        <v>18</v>
      </c>
      <c r="F7" s="278"/>
      <c r="G7" s="71"/>
      <c r="H7" s="275" t="s">
        <v>61</v>
      </c>
      <c r="I7" s="275"/>
      <c r="J7" s="109"/>
      <c r="K7" s="275" t="s">
        <v>59</v>
      </c>
      <c r="L7" s="275" t="s">
        <v>62</v>
      </c>
      <c r="M7" s="275" t="s">
        <v>18</v>
      </c>
      <c r="N7" s="275"/>
      <c r="O7" s="71"/>
      <c r="P7" s="275" t="s">
        <v>71</v>
      </c>
      <c r="Q7" s="275"/>
      <c r="R7" s="3"/>
    </row>
    <row r="8" spans="1:28" ht="15" customHeight="1" x14ac:dyDescent="0.35">
      <c r="A8" s="3"/>
      <c r="B8" s="278"/>
      <c r="C8" s="275"/>
      <c r="D8" s="275"/>
      <c r="E8" s="279"/>
      <c r="F8" s="279"/>
      <c r="G8" s="172"/>
      <c r="H8" s="276"/>
      <c r="I8" s="276"/>
      <c r="J8" s="110"/>
      <c r="K8" s="275"/>
      <c r="L8" s="275"/>
      <c r="M8" s="276"/>
      <c r="N8" s="276"/>
      <c r="O8" s="172"/>
      <c r="P8" s="276"/>
      <c r="Q8" s="276"/>
      <c r="R8" s="4"/>
    </row>
    <row r="9" spans="1:28" ht="49.5" customHeight="1" x14ac:dyDescent="0.35">
      <c r="A9" s="3"/>
      <c r="B9" s="278"/>
      <c r="C9" s="275"/>
      <c r="D9" s="275"/>
      <c r="E9" s="231" t="s">
        <v>1</v>
      </c>
      <c r="F9" s="231" t="s">
        <v>0</v>
      </c>
      <c r="G9" s="172"/>
      <c r="H9" s="230" t="s">
        <v>88</v>
      </c>
      <c r="I9" s="230" t="s">
        <v>89</v>
      </c>
      <c r="J9" s="110"/>
      <c r="K9" s="275"/>
      <c r="L9" s="275"/>
      <c r="M9" s="172" t="s">
        <v>1</v>
      </c>
      <c r="N9" s="172" t="s">
        <v>0</v>
      </c>
      <c r="O9" s="172"/>
      <c r="P9" s="171" t="s">
        <v>88</v>
      </c>
      <c r="Q9" s="171" t="s">
        <v>89</v>
      </c>
      <c r="R9" s="4"/>
    </row>
    <row r="10" spans="1:28" x14ac:dyDescent="0.35">
      <c r="B10" s="235">
        <v>1960</v>
      </c>
      <c r="C10" s="38">
        <v>3023357.827</v>
      </c>
      <c r="D10" s="38">
        <f>77114679/1000</f>
        <v>77114.679000000004</v>
      </c>
      <c r="E10" s="237">
        <f>36245832/1000</f>
        <v>36245.832000000002</v>
      </c>
      <c r="F10" s="38">
        <f>40868847/1000</f>
        <v>40868.847000000002</v>
      </c>
      <c r="G10" s="15"/>
      <c r="H10" s="38">
        <v>33873.281000000003</v>
      </c>
      <c r="I10" s="38">
        <v>43241.398000000001</v>
      </c>
      <c r="J10" s="38"/>
      <c r="K10" s="16" t="s">
        <v>16</v>
      </c>
      <c r="L10" s="16" t="s">
        <v>16</v>
      </c>
      <c r="M10" s="68" t="s">
        <v>16</v>
      </c>
      <c r="N10" s="16" t="s">
        <v>16</v>
      </c>
      <c r="O10" s="16"/>
      <c r="P10" s="16" t="s">
        <v>16</v>
      </c>
      <c r="Q10" s="16" t="s">
        <v>16</v>
      </c>
      <c r="R10" s="111"/>
    </row>
    <row r="11" spans="1:28" x14ac:dyDescent="0.35">
      <c r="B11" s="235">
        <v>1965</v>
      </c>
      <c r="C11" s="38">
        <v>3331670.389</v>
      </c>
      <c r="D11" s="38">
        <f>80796968/1000</f>
        <v>80796.967999999993</v>
      </c>
      <c r="E11" s="237">
        <f>38240525/1000</f>
        <v>38240.525000000001</v>
      </c>
      <c r="F11" s="38">
        <f>42556443/1000</f>
        <v>42556.442999999999</v>
      </c>
      <c r="G11" s="15"/>
      <c r="H11" s="38">
        <v>37635.279000000002</v>
      </c>
      <c r="I11" s="38">
        <v>43161.688999999998</v>
      </c>
      <c r="J11" s="38"/>
      <c r="K11" s="17">
        <f>(((C11/C10)^0.2)-1)*100</f>
        <v>1.9610961161349083</v>
      </c>
      <c r="L11" s="17">
        <f>(((D11/D10)^0.2)-1)*100</f>
        <v>0.93728099358900696</v>
      </c>
      <c r="M11" s="69">
        <f>(((E11/E10)^0.2)-1)*100</f>
        <v>1.0771887845297812</v>
      </c>
      <c r="N11" s="17">
        <f>(((F11/F10)^0.2)-1)*100</f>
        <v>0.81254698165988959</v>
      </c>
      <c r="O11" s="17"/>
      <c r="P11" s="17">
        <f>(((H11/H10)^0.2)-1)*100</f>
        <v>2.128646198953521</v>
      </c>
      <c r="Q11" s="47">
        <f>(((I11/I10)^0.2)-1)*100</f>
        <v>-3.6894199257042626E-2</v>
      </c>
      <c r="R11" s="297"/>
      <c r="S11" s="112"/>
      <c r="T11" s="112"/>
    </row>
    <row r="12" spans="1:28" x14ac:dyDescent="0.35">
      <c r="B12" s="235">
        <v>1970</v>
      </c>
      <c r="C12" s="38">
        <v>3685776.6169999996</v>
      </c>
      <c r="D12" s="38">
        <f>84460125/1000</f>
        <v>84460.125</v>
      </c>
      <c r="E12" s="237">
        <f>40204253/1000</f>
        <v>40204.252999999997</v>
      </c>
      <c r="F12" s="38">
        <f>44255872/1000</f>
        <v>44255.872000000003</v>
      </c>
      <c r="G12" s="15"/>
      <c r="H12" s="38">
        <v>41085.302000000003</v>
      </c>
      <c r="I12" s="38">
        <v>43374.822999999997</v>
      </c>
      <c r="J12" s="38"/>
      <c r="K12" s="17">
        <f t="shared" ref="K12:K21" si="0">(((C12/C11)^0.2)-1)*100</f>
        <v>2.0406922692294938</v>
      </c>
      <c r="L12" s="17">
        <f t="shared" ref="L12:L21" si="1">(((D12/D11)^0.2)-1)*100</f>
        <v>0.89074552464234458</v>
      </c>
      <c r="M12" s="69">
        <f t="shared" ref="M12:M21" si="2">(((E12/E11)^0.2)-1)*100</f>
        <v>1.0065715689948629</v>
      </c>
      <c r="N12" s="17">
        <f t="shared" ref="N12:N21" si="3">(((F12/F11)^0.2)-1)*100</f>
        <v>0.78621048634668345</v>
      </c>
      <c r="O12" s="17"/>
      <c r="P12" s="17">
        <f t="shared" ref="P12:P21" si="4">(((H12/H11)^0.2)-1)*100</f>
        <v>1.7696471461280394</v>
      </c>
      <c r="Q12" s="47">
        <f t="shared" ref="Q12:Q21" si="5">(((I12/I11)^0.2)-1)*100</f>
        <v>9.8566234334507286E-2</v>
      </c>
      <c r="R12" s="17"/>
      <c r="S12" s="112"/>
      <c r="T12" s="112"/>
    </row>
    <row r="13" spans="1:28" x14ac:dyDescent="0.35">
      <c r="B13" s="235">
        <v>1975</v>
      </c>
      <c r="C13" s="38">
        <v>4061316.7859999998</v>
      </c>
      <c r="D13" s="38">
        <f>90368010/1000</f>
        <v>90368.01</v>
      </c>
      <c r="E13" s="237">
        <f>43149598/1000</f>
        <v>43149.597999999998</v>
      </c>
      <c r="F13" s="38">
        <f>47218412/1000</f>
        <v>47218.411999999997</v>
      </c>
      <c r="G13" s="15"/>
      <c r="H13" s="38">
        <v>46218.887999999999</v>
      </c>
      <c r="I13" s="38">
        <v>44149.122000000003</v>
      </c>
      <c r="J13" s="38"/>
      <c r="K13" s="17">
        <f t="shared" si="0"/>
        <v>1.9594704341680202</v>
      </c>
      <c r="L13" s="17">
        <f t="shared" si="1"/>
        <v>1.3613998616136769</v>
      </c>
      <c r="M13" s="69">
        <f t="shared" si="2"/>
        <v>1.4240506578566459</v>
      </c>
      <c r="N13" s="17">
        <f t="shared" si="3"/>
        <v>1.3043501529770074</v>
      </c>
      <c r="O13" s="17"/>
      <c r="P13" s="17">
        <f t="shared" si="4"/>
        <v>2.3827054995354535</v>
      </c>
      <c r="Q13" s="47">
        <f t="shared" si="5"/>
        <v>0.35450453691938666</v>
      </c>
      <c r="R13" s="17"/>
      <c r="S13" s="112"/>
      <c r="T13" s="112"/>
    </row>
    <row r="14" spans="1:28" x14ac:dyDescent="0.35">
      <c r="B14" s="235">
        <v>1980</v>
      </c>
      <c r="C14" s="38">
        <v>4437609.074</v>
      </c>
      <c r="D14" s="38">
        <f>101983149/1000</f>
        <v>101983.149</v>
      </c>
      <c r="E14" s="237">
        <f>48681481/1000</f>
        <v>48681.481</v>
      </c>
      <c r="F14" s="38">
        <f>53301668/1000</f>
        <v>53301.667999999998</v>
      </c>
      <c r="G14" s="15"/>
      <c r="H14" s="38">
        <v>50688.014000000003</v>
      </c>
      <c r="I14" s="38">
        <v>51295.135000000002</v>
      </c>
      <c r="J14" s="38"/>
      <c r="K14" s="17">
        <f t="shared" si="0"/>
        <v>1.787965739408226</v>
      </c>
      <c r="L14" s="17">
        <f t="shared" si="1"/>
        <v>2.4478243371299113</v>
      </c>
      <c r="M14" s="69">
        <f t="shared" si="2"/>
        <v>2.4418482998893376</v>
      </c>
      <c r="N14" s="17">
        <f t="shared" si="3"/>
        <v>2.4532841997387589</v>
      </c>
      <c r="O14" s="17"/>
      <c r="P14" s="17">
        <f t="shared" si="4"/>
        <v>1.8631627886919411</v>
      </c>
      <c r="Q14" s="47">
        <f t="shared" si="5"/>
        <v>3.0459247937082878</v>
      </c>
      <c r="R14" s="17"/>
      <c r="S14" s="112"/>
      <c r="T14" s="112"/>
    </row>
    <row r="15" spans="1:28" x14ac:dyDescent="0.35">
      <c r="B15" s="235">
        <v>1985</v>
      </c>
      <c r="C15" s="38">
        <v>4846247.0279999999</v>
      </c>
      <c r="D15" s="38">
        <f>113206691/1000</f>
        <v>113206.69100000001</v>
      </c>
      <c r="E15" s="237">
        <f>53869213/1000</f>
        <v>53869.213000000003</v>
      </c>
      <c r="F15" s="38">
        <f>59337478/1000</f>
        <v>59337.478000000003</v>
      </c>
      <c r="G15" s="15"/>
      <c r="H15" s="38">
        <v>55406.116000000002</v>
      </c>
      <c r="I15" s="38">
        <v>57800.574999999997</v>
      </c>
      <c r="J15" s="38"/>
      <c r="K15" s="17">
        <f t="shared" si="0"/>
        <v>1.7773880803743536</v>
      </c>
      <c r="L15" s="17">
        <f t="shared" si="1"/>
        <v>2.1101080354072987</v>
      </c>
      <c r="M15" s="69">
        <f t="shared" si="2"/>
        <v>2.0458552249270401</v>
      </c>
      <c r="N15" s="17">
        <f t="shared" si="3"/>
        <v>2.1686504412851582</v>
      </c>
      <c r="O15" s="17"/>
      <c r="P15" s="17">
        <f t="shared" si="4"/>
        <v>1.7959468472912743</v>
      </c>
      <c r="Q15" s="47">
        <f t="shared" si="5"/>
        <v>2.4167986081840009</v>
      </c>
      <c r="R15" s="17"/>
      <c r="S15" s="112"/>
      <c r="T15" s="112"/>
      <c r="U15" s="6"/>
      <c r="V15" s="6"/>
      <c r="W15" s="7"/>
      <c r="X15" s="8"/>
      <c r="Y15" s="6"/>
      <c r="Z15" s="6"/>
      <c r="AA15" s="4"/>
      <c r="AB15" s="4"/>
    </row>
    <row r="16" spans="1:28" x14ac:dyDescent="0.35">
      <c r="B16" s="235">
        <v>1990</v>
      </c>
      <c r="C16" s="38">
        <v>5327231.0609999998</v>
      </c>
      <c r="D16" s="38">
        <f>153011473/1000</f>
        <v>153011.473</v>
      </c>
      <c r="E16" s="238">
        <f>75349784/1000</f>
        <v>75349.784</v>
      </c>
      <c r="F16" s="239">
        <f>77661689/1000</f>
        <v>77661.688999999998</v>
      </c>
      <c r="G16" s="15"/>
      <c r="H16" s="38">
        <f>82767216/1000</f>
        <v>82767.216</v>
      </c>
      <c r="I16" s="38">
        <f>70244257/1000</f>
        <v>70244.256999999998</v>
      </c>
      <c r="J16" s="38"/>
      <c r="K16" s="17">
        <f t="shared" si="0"/>
        <v>1.9105621663041195</v>
      </c>
      <c r="L16" s="17">
        <f t="shared" si="1"/>
        <v>6.211215728809516</v>
      </c>
      <c r="M16" s="69">
        <f t="shared" si="2"/>
        <v>6.9419936676863969</v>
      </c>
      <c r="N16" s="17">
        <f t="shared" si="3"/>
        <v>5.5299055744059133</v>
      </c>
      <c r="O16" s="17"/>
      <c r="P16" s="17">
        <f t="shared" si="4"/>
        <v>8.3577873122722135</v>
      </c>
      <c r="Q16" s="47">
        <f t="shared" si="5"/>
        <v>3.9766289277858968</v>
      </c>
      <c r="R16" s="17"/>
      <c r="S16" s="112"/>
      <c r="T16" s="112"/>
      <c r="U16" s="6"/>
      <c r="V16" s="6"/>
      <c r="W16" s="7"/>
      <c r="X16" s="8"/>
      <c r="Y16" s="6"/>
      <c r="Z16" s="6"/>
      <c r="AA16" s="4"/>
      <c r="AB16" s="4"/>
    </row>
    <row r="17" spans="1:28" x14ac:dyDescent="0.35">
      <c r="B17" s="235">
        <v>1995</v>
      </c>
      <c r="C17" s="38">
        <v>5744212.9790000003</v>
      </c>
      <c r="D17" s="38">
        <f>161316895/1000</f>
        <v>161316.89499999999</v>
      </c>
      <c r="E17" s="237">
        <f>79630779/1000</f>
        <v>79630.778999999995</v>
      </c>
      <c r="F17" s="38">
        <f>81686116/1000</f>
        <v>81686.115999999995</v>
      </c>
      <c r="G17" s="15"/>
      <c r="H17" s="38">
        <f>92935095/1000</f>
        <v>92935.095000000001</v>
      </c>
      <c r="I17" s="38">
        <f>68381800/1000</f>
        <v>68381.8</v>
      </c>
      <c r="J17" s="38"/>
      <c r="K17" s="17">
        <f t="shared" si="0"/>
        <v>1.5186420784759624</v>
      </c>
      <c r="L17" s="17">
        <f t="shared" si="1"/>
        <v>1.0627639777399667</v>
      </c>
      <c r="M17" s="69">
        <f t="shared" si="2"/>
        <v>1.1113224252186971</v>
      </c>
      <c r="N17" s="17">
        <f t="shared" si="3"/>
        <v>1.0155616959173663</v>
      </c>
      <c r="O17" s="17"/>
      <c r="P17" s="17">
        <f t="shared" si="4"/>
        <v>2.3444461223558921</v>
      </c>
      <c r="Q17" s="47">
        <f t="shared" si="5"/>
        <v>-0.53599532407822004</v>
      </c>
      <c r="R17" s="17"/>
      <c r="S17" s="112"/>
      <c r="T17" s="112"/>
      <c r="U17" s="4"/>
      <c r="V17" s="4"/>
      <c r="W17" s="7"/>
      <c r="X17" s="4"/>
      <c r="Y17" s="4"/>
      <c r="Z17" s="4"/>
      <c r="AA17" s="4"/>
      <c r="AB17" s="4"/>
    </row>
    <row r="18" spans="1:28" x14ac:dyDescent="0.35">
      <c r="B18" s="235">
        <v>2000</v>
      </c>
      <c r="C18" s="38">
        <v>6143493.8229999999</v>
      </c>
      <c r="D18" s="38">
        <f>173588441/1000</f>
        <v>173588.44099999999</v>
      </c>
      <c r="E18" s="238">
        <f>85559220/1000</f>
        <v>85559.22</v>
      </c>
      <c r="F18" s="239">
        <f>88029221/1000</f>
        <v>88029.221000000005</v>
      </c>
      <c r="G18" s="15"/>
      <c r="H18" s="38">
        <f>103961989/1000</f>
        <v>103961.989</v>
      </c>
      <c r="I18" s="38">
        <f>69626452/1000</f>
        <v>69626.452000000005</v>
      </c>
      <c r="J18" s="38"/>
      <c r="K18" s="17">
        <f t="shared" si="0"/>
        <v>1.3530864128807218</v>
      </c>
      <c r="L18" s="17">
        <f t="shared" si="1"/>
        <v>1.4771332270762549</v>
      </c>
      <c r="M18" s="69">
        <f t="shared" si="2"/>
        <v>1.4465239235479821</v>
      </c>
      <c r="N18" s="17">
        <f t="shared" si="3"/>
        <v>1.5069368502531821</v>
      </c>
      <c r="O18" s="17"/>
      <c r="P18" s="17">
        <f t="shared" si="4"/>
        <v>2.2678124991870385</v>
      </c>
      <c r="Q18" s="47">
        <f t="shared" si="5"/>
        <v>0.36140841608420793</v>
      </c>
      <c r="R18" s="17"/>
      <c r="S18" s="112"/>
      <c r="T18" s="112"/>
      <c r="U18" s="4"/>
      <c r="V18" s="4"/>
      <c r="W18" s="4"/>
      <c r="X18" s="4"/>
      <c r="Y18" s="4"/>
      <c r="Z18" s="4"/>
      <c r="AA18" s="4"/>
      <c r="AB18" s="4"/>
    </row>
    <row r="19" spans="1:28" x14ac:dyDescent="0.35">
      <c r="B19" s="235">
        <v>2005</v>
      </c>
      <c r="C19" s="38">
        <v>6541907.0270000007</v>
      </c>
      <c r="D19" s="38">
        <f>191615574/1000</f>
        <v>191615.57399999999</v>
      </c>
      <c r="E19" s="237">
        <f>93754736/1000</f>
        <v>93754.736000000004</v>
      </c>
      <c r="F19" s="38">
        <f>97860838/1000</f>
        <v>97860.838000000003</v>
      </c>
      <c r="G19" s="15"/>
      <c r="H19" s="38">
        <f>116687616/1000</f>
        <v>116687.61599999999</v>
      </c>
      <c r="I19" s="38">
        <f>74927958/1000</f>
        <v>74927.957999999999</v>
      </c>
      <c r="J19" s="38"/>
      <c r="K19" s="17">
        <f t="shared" si="0"/>
        <v>1.2646318935823908</v>
      </c>
      <c r="L19" s="17">
        <f t="shared" si="1"/>
        <v>1.9957322821776202</v>
      </c>
      <c r="M19" s="69">
        <f t="shared" si="2"/>
        <v>1.8463055544268192</v>
      </c>
      <c r="N19" s="17">
        <f t="shared" si="3"/>
        <v>2.140131898434916</v>
      </c>
      <c r="O19" s="17"/>
      <c r="P19" s="17">
        <f t="shared" si="4"/>
        <v>2.3363769521529854</v>
      </c>
      <c r="Q19" s="47">
        <f t="shared" si="5"/>
        <v>1.4784736625678363</v>
      </c>
      <c r="R19" s="17"/>
      <c r="S19" s="112"/>
      <c r="T19" s="112"/>
      <c r="U19" s="4"/>
      <c r="V19" s="4"/>
      <c r="W19" s="4"/>
      <c r="X19" s="4"/>
      <c r="Y19" s="4"/>
      <c r="Z19" s="4"/>
      <c r="AA19" s="4"/>
      <c r="AB19" s="4"/>
    </row>
    <row r="20" spans="1:28" x14ac:dyDescent="0.35">
      <c r="B20" s="235">
        <v>2010</v>
      </c>
      <c r="C20" s="38">
        <v>6956823.6030000011</v>
      </c>
      <c r="D20" s="38">
        <f>220781909/1000</f>
        <v>220781.90900000001</v>
      </c>
      <c r="E20" s="238">
        <f>106720229/1000</f>
        <v>106720.22900000001</v>
      </c>
      <c r="F20" s="239">
        <f>114061680/1000</f>
        <v>114061.68</v>
      </c>
      <c r="G20" s="15"/>
      <c r="H20" s="38">
        <f>130613460/1000</f>
        <v>130613.46</v>
      </c>
      <c r="I20" s="38">
        <f>90168449/1000</f>
        <v>90168.448999999993</v>
      </c>
      <c r="J20" s="38"/>
      <c r="K20" s="17">
        <f t="shared" si="0"/>
        <v>1.237479672588182</v>
      </c>
      <c r="L20" s="17">
        <f t="shared" si="1"/>
        <v>2.8742153952302951</v>
      </c>
      <c r="M20" s="69">
        <f t="shared" si="2"/>
        <v>2.6244178744069924</v>
      </c>
      <c r="N20" s="17">
        <f t="shared" si="3"/>
        <v>3.1112772917620157</v>
      </c>
      <c r="O20" s="17"/>
      <c r="P20" s="17">
        <f t="shared" si="4"/>
        <v>2.2804507844393918</v>
      </c>
      <c r="Q20" s="47">
        <f t="shared" si="5"/>
        <v>3.772466776552208</v>
      </c>
      <c r="R20" s="17"/>
      <c r="S20" s="112"/>
      <c r="T20" s="112"/>
      <c r="U20" s="4"/>
      <c r="V20" s="4"/>
      <c r="W20" s="4"/>
      <c r="X20" s="4"/>
      <c r="Y20" s="4"/>
      <c r="Z20" s="4"/>
      <c r="AA20" s="4"/>
      <c r="AB20" s="4"/>
    </row>
    <row r="21" spans="1:28" x14ac:dyDescent="0.35">
      <c r="B21" s="235">
        <v>2015</v>
      </c>
      <c r="C21" s="38">
        <v>7379797.1389999986</v>
      </c>
      <c r="D21" s="38">
        <f>248861296/1000</f>
        <v>248861.296</v>
      </c>
      <c r="E21" s="237">
        <f>119997907/1000</f>
        <v>119997.90700000001</v>
      </c>
      <c r="F21" s="38">
        <f>128863389/1000</f>
        <v>128863.389</v>
      </c>
      <c r="G21" s="15"/>
      <c r="H21" s="38">
        <f>140643317/1000</f>
        <v>140643.31700000001</v>
      </c>
      <c r="I21" s="38">
        <f>108217979/1000</f>
        <v>108217.97900000001</v>
      </c>
      <c r="J21" s="38"/>
      <c r="K21" s="17">
        <f t="shared" si="0"/>
        <v>1.1874581438176435</v>
      </c>
      <c r="L21" s="17">
        <f t="shared" si="1"/>
        <v>2.4233024771738831</v>
      </c>
      <c r="M21" s="69">
        <f t="shared" si="2"/>
        <v>2.3729892123900642</v>
      </c>
      <c r="N21" s="17">
        <f t="shared" si="3"/>
        <v>2.4702880312256426</v>
      </c>
      <c r="O21" s="17"/>
      <c r="P21" s="17">
        <f t="shared" si="4"/>
        <v>1.4906965691917851</v>
      </c>
      <c r="Q21" s="47">
        <f t="shared" si="5"/>
        <v>3.7167653801422063</v>
      </c>
      <c r="R21" s="17"/>
      <c r="S21" s="112"/>
      <c r="T21" s="112"/>
      <c r="U21" s="4"/>
      <c r="V21" s="4"/>
      <c r="W21" s="4"/>
      <c r="X21" s="4"/>
      <c r="Y21" s="4"/>
      <c r="Z21" s="4"/>
      <c r="AA21" s="4"/>
      <c r="AB21" s="4"/>
    </row>
    <row r="22" spans="1:28" x14ac:dyDescent="0.35">
      <c r="B22" s="236">
        <v>2019</v>
      </c>
      <c r="C22" s="243">
        <v>7713468.0999999968</v>
      </c>
      <c r="D22" s="243">
        <f>271642105/1000</f>
        <v>271642.10499999998</v>
      </c>
      <c r="E22" s="240">
        <f>130154101/1000</f>
        <v>130154.101</v>
      </c>
      <c r="F22" s="241">
        <f>141488004/1000</f>
        <v>141488.00399999999</v>
      </c>
      <c r="G22" s="100"/>
      <c r="H22" s="242">
        <f>152069261/1000</f>
        <v>152069.261</v>
      </c>
      <c r="I22" s="242">
        <f>119572844/1000</f>
        <v>119572.844</v>
      </c>
      <c r="J22" s="179"/>
      <c r="K22" s="101">
        <f>(((C22/C21)^0.25)-1)*100</f>
        <v>1.1116775830053438</v>
      </c>
      <c r="L22" s="101">
        <f>(((D22/D21)^0.25)-1)*100</f>
        <v>2.2138936350621918</v>
      </c>
      <c r="M22" s="102">
        <f>(((E22/E21)^0.25)-1)*100</f>
        <v>2.0518886238184209</v>
      </c>
      <c r="N22" s="101">
        <f>(((F22/F21)^0.25)-1)*100</f>
        <v>2.3640635593736192</v>
      </c>
      <c r="O22" s="100"/>
      <c r="P22" s="101">
        <f>(((H22/H21)^0.25)-1)*100</f>
        <v>1.971916984824551</v>
      </c>
      <c r="Q22" s="113">
        <f>(((I22/I21)^0.25)-1)*100</f>
        <v>2.5258279081004087</v>
      </c>
      <c r="R22" s="17"/>
      <c r="S22" s="112"/>
      <c r="T22" s="112"/>
      <c r="U22" s="4"/>
      <c r="V22" s="4"/>
      <c r="W22" s="4"/>
      <c r="X22" s="4"/>
      <c r="Y22" s="4"/>
      <c r="Z22" s="4"/>
      <c r="AA22" s="4"/>
      <c r="AB22" s="4"/>
    </row>
    <row r="23" spans="1:28" x14ac:dyDescent="0.35">
      <c r="A23" s="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5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8" customFormat="1" ht="15" customHeight="1" x14ac:dyDescent="0.25">
      <c r="B24" s="277" t="s">
        <v>74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</row>
    <row r="25" spans="1:28" s="18" customFormat="1" ht="15" customHeight="1" x14ac:dyDescent="0.25">
      <c r="B25" s="277" t="s">
        <v>31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</row>
    <row r="26" spans="1:28" s="18" customFormat="1" ht="15" customHeight="1" x14ac:dyDescent="0.25">
      <c r="B26" s="280" t="s">
        <v>90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</row>
    <row r="27" spans="1:28" s="18" customFormat="1" ht="15" customHeight="1" x14ac:dyDescent="0.25">
      <c r="B27" s="280" t="s">
        <v>91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</row>
    <row r="28" spans="1:28" s="18" customFormat="1" ht="15" customHeight="1" x14ac:dyDescent="0.25">
      <c r="B28" s="281" t="s">
        <v>355</v>
      </c>
      <c r="C28" s="281"/>
      <c r="D28" s="281"/>
      <c r="E28" s="281"/>
      <c r="F28" s="281"/>
      <c r="G28" s="281"/>
      <c r="H28" s="281"/>
      <c r="I28" s="281"/>
      <c r="J28" s="281"/>
      <c r="K28" s="281"/>
      <c r="L28" s="104"/>
      <c r="M28" s="104"/>
      <c r="N28" s="11"/>
      <c r="O28" s="12"/>
    </row>
    <row r="29" spans="1:28" s="18" customFormat="1" ht="12.75" x14ac:dyDescent="0.25">
      <c r="B29" s="18" t="s">
        <v>357</v>
      </c>
      <c r="E29" s="117"/>
      <c r="F29" s="117"/>
      <c r="G29" s="117"/>
      <c r="H29" s="117"/>
      <c r="I29" s="117"/>
      <c r="J29" s="117"/>
      <c r="K29" s="117"/>
      <c r="L29" s="104"/>
      <c r="M29" s="104"/>
      <c r="N29" s="104"/>
      <c r="O29" s="11"/>
    </row>
    <row r="30" spans="1:28" s="18" customFormat="1" ht="12.75" x14ac:dyDescent="0.25">
      <c r="B30" s="104"/>
      <c r="C30" s="104"/>
      <c r="D30" s="104"/>
      <c r="E30" s="104"/>
      <c r="F30" s="104"/>
      <c r="G30" s="104"/>
      <c r="H30" s="104"/>
      <c r="I30" s="188"/>
      <c r="J30" s="104"/>
      <c r="K30" s="104"/>
      <c r="L30" s="104"/>
      <c r="M30" s="104"/>
      <c r="N30" s="104"/>
      <c r="O30" s="11"/>
    </row>
    <row r="31" spans="1:28" x14ac:dyDescent="0.35">
      <c r="B31" s="4"/>
      <c r="C31" s="4"/>
      <c r="D31" s="4"/>
      <c r="E31" s="4"/>
      <c r="F31" s="4"/>
      <c r="G31" s="4"/>
      <c r="H31" s="4"/>
      <c r="I31" s="14"/>
      <c r="J31" s="4"/>
      <c r="K31" s="4"/>
      <c r="L31" s="4"/>
      <c r="M31" s="4"/>
      <c r="N31" s="4"/>
      <c r="O31" s="11"/>
    </row>
    <row r="32" spans="1:28" x14ac:dyDescent="0.35">
      <c r="B32" s="4"/>
      <c r="C32" s="4"/>
      <c r="D32" s="4"/>
      <c r="E32" s="4"/>
      <c r="F32" s="4"/>
      <c r="G32" s="4"/>
      <c r="I32" s="14"/>
      <c r="J32" s="4"/>
      <c r="K32" s="4"/>
      <c r="L32" s="4"/>
      <c r="M32" s="4"/>
      <c r="N32" s="4"/>
      <c r="O32" s="4"/>
    </row>
    <row r="33" spans="2:13" x14ac:dyDescent="0.35">
      <c r="B33" s="4"/>
      <c r="C33" s="4"/>
      <c r="D33" s="4"/>
      <c r="E33" s="4"/>
      <c r="F33" s="4"/>
      <c r="G33" s="4"/>
      <c r="H33" s="13"/>
      <c r="I33" s="14"/>
      <c r="J33" s="4"/>
      <c r="K33" s="4"/>
      <c r="L33" s="4"/>
      <c r="M33" s="4"/>
    </row>
    <row r="34" spans="2:13" x14ac:dyDescent="0.35">
      <c r="B34" s="4"/>
      <c r="C34" s="4"/>
      <c r="D34" s="4"/>
      <c r="E34" s="4"/>
      <c r="F34" s="4"/>
      <c r="G34" s="4"/>
      <c r="H34" s="4"/>
      <c r="I34" s="14"/>
      <c r="J34" s="4"/>
      <c r="K34" s="4"/>
      <c r="L34" s="4"/>
      <c r="M34" s="4"/>
    </row>
    <row r="35" spans="2:13" x14ac:dyDescent="0.35">
      <c r="B35" s="4"/>
      <c r="C35" s="4"/>
      <c r="D35" s="4"/>
      <c r="E35" s="232"/>
      <c r="F35" s="4"/>
      <c r="G35" s="4"/>
      <c r="H35" s="4"/>
      <c r="I35" s="14"/>
      <c r="J35" s="4"/>
      <c r="K35" s="4"/>
      <c r="L35" s="4"/>
      <c r="M35" s="4"/>
    </row>
    <row r="36" spans="2:13" x14ac:dyDescent="0.35">
      <c r="B36" s="4"/>
      <c r="C36" s="4"/>
      <c r="D36" s="4"/>
      <c r="E36" s="4"/>
      <c r="F36" s="4"/>
      <c r="G36" s="4"/>
      <c r="H36" s="4"/>
      <c r="I36" s="14"/>
      <c r="J36" s="4"/>
      <c r="K36" s="4"/>
      <c r="L36" s="4"/>
      <c r="M36" s="4"/>
    </row>
  </sheetData>
  <mergeCells count="16">
    <mergeCell ref="B26:Q26"/>
    <mergeCell ref="B28:K28"/>
    <mergeCell ref="B27:Q27"/>
    <mergeCell ref="M7:N8"/>
    <mergeCell ref="P7:Q8"/>
    <mergeCell ref="B24:P24"/>
    <mergeCell ref="B25:Q25"/>
    <mergeCell ref="B6:B9"/>
    <mergeCell ref="C6:I6"/>
    <mergeCell ref="K6:Q6"/>
    <mergeCell ref="C7:C9"/>
    <mergeCell ref="D7:D9"/>
    <mergeCell ref="E7:F8"/>
    <mergeCell ref="H7:I8"/>
    <mergeCell ref="K7:K9"/>
    <mergeCell ref="L7:L9"/>
  </mergeCells>
  <hyperlinks>
    <hyperlink ref="Q4" location="Contenido!A1" display="Contenido"/>
  </hyperlink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zoomScale="90" zoomScaleNormal="90" workbookViewId="0">
      <selection activeCell="J4" sqref="J4"/>
    </sheetView>
  </sheetViews>
  <sheetFormatPr baseColWidth="10" defaultColWidth="11.42578125" defaultRowHeight="18" x14ac:dyDescent="0.35"/>
  <cols>
    <col min="1" max="1" width="2.85546875" style="1" customWidth="1"/>
    <col min="2" max="2" width="21.42578125" style="1" customWidth="1"/>
    <col min="3" max="3" width="3.28515625" style="1" customWidth="1"/>
    <col min="4" max="4" width="15.7109375" style="1" customWidth="1"/>
    <col min="5" max="5" width="3.140625" style="1" customWidth="1"/>
    <col min="6" max="6" width="15.7109375" style="1" customWidth="1"/>
    <col min="7" max="7" width="3.28515625" style="1" customWidth="1"/>
    <col min="8" max="8" width="17.140625" style="1" customWidth="1"/>
    <col min="9" max="9" width="4.140625" style="1" customWidth="1"/>
    <col min="10" max="10" width="16.7109375" style="1" customWidth="1"/>
    <col min="11" max="16384" width="11.42578125" style="1"/>
  </cols>
  <sheetData>
    <row r="1" spans="1:14" ht="14.25" customHeight="1" x14ac:dyDescent="0.35">
      <c r="B1" s="3"/>
      <c r="C1" s="3"/>
      <c r="D1" s="27"/>
      <c r="E1" s="27"/>
      <c r="F1" s="27"/>
      <c r="G1" s="27"/>
      <c r="H1" s="27"/>
      <c r="I1" s="27"/>
      <c r="J1" s="27"/>
    </row>
    <row r="2" spans="1:14" ht="18.75" x14ac:dyDescent="0.35">
      <c r="B2" s="3"/>
      <c r="C2" s="3"/>
      <c r="E2" s="82"/>
      <c r="F2" s="82"/>
      <c r="G2" s="82"/>
      <c r="H2" s="82"/>
      <c r="I2" s="82"/>
      <c r="J2" s="82"/>
    </row>
    <row r="3" spans="1:14" ht="18.75" x14ac:dyDescent="0.35">
      <c r="B3" s="3"/>
      <c r="C3" s="3"/>
      <c r="D3" s="82"/>
      <c r="E3" s="82"/>
      <c r="F3" s="82"/>
      <c r="G3" s="82"/>
      <c r="H3" s="82"/>
      <c r="I3" s="82"/>
      <c r="J3" s="82"/>
    </row>
    <row r="4" spans="1:14" x14ac:dyDescent="0.35">
      <c r="B4" s="97" t="s">
        <v>353</v>
      </c>
      <c r="C4" s="3"/>
      <c r="D4" s="176"/>
      <c r="E4" s="177"/>
      <c r="F4" s="177"/>
      <c r="G4" s="177"/>
      <c r="H4" s="177"/>
      <c r="I4" s="177"/>
      <c r="J4" s="303" t="s">
        <v>363</v>
      </c>
    </row>
    <row r="5" spans="1:14" ht="18.75" x14ac:dyDescent="0.35">
      <c r="B5" s="3"/>
      <c r="C5" s="3"/>
      <c r="D5" s="82"/>
      <c r="E5" s="65"/>
      <c r="F5" s="65"/>
      <c r="G5" s="65"/>
      <c r="H5" s="65"/>
      <c r="I5" s="65"/>
      <c r="J5" s="65"/>
    </row>
    <row r="6" spans="1:14" ht="24.75" customHeight="1" x14ac:dyDescent="0.35">
      <c r="B6" s="275" t="s">
        <v>297</v>
      </c>
      <c r="C6" s="90"/>
      <c r="D6" s="275" t="s">
        <v>67</v>
      </c>
      <c r="E6" s="91"/>
      <c r="F6" s="275" t="s">
        <v>69</v>
      </c>
      <c r="G6" s="92"/>
      <c r="H6" s="275" t="s">
        <v>55</v>
      </c>
      <c r="I6" s="92"/>
      <c r="J6" s="275" t="s">
        <v>56</v>
      </c>
    </row>
    <row r="7" spans="1:14" ht="36" customHeight="1" x14ac:dyDescent="0.35">
      <c r="B7" s="275"/>
      <c r="C7" s="93"/>
      <c r="D7" s="275"/>
      <c r="E7" s="70"/>
      <c r="F7" s="275"/>
      <c r="G7" s="70"/>
      <c r="H7" s="275"/>
      <c r="I7" s="70"/>
      <c r="J7" s="275"/>
      <c r="K7" s="282"/>
      <c r="L7" s="282"/>
    </row>
    <row r="8" spans="1:14" s="20" customFormat="1" x14ac:dyDescent="0.35">
      <c r="A8" s="4"/>
      <c r="B8" s="83" t="s">
        <v>299</v>
      </c>
      <c r="C8" s="84"/>
      <c r="D8" s="116">
        <v>7713468.1000000071</v>
      </c>
      <c r="E8" s="84"/>
      <c r="F8" s="116">
        <f>271642105/1000</f>
        <v>271642.10499999998</v>
      </c>
      <c r="G8" s="173"/>
      <c r="H8" s="85">
        <f>(F8/D8)*100</f>
        <v>3.521659796583585</v>
      </c>
      <c r="I8" s="173"/>
      <c r="J8" s="88">
        <f>SUM(J9:J10)</f>
        <v>100</v>
      </c>
      <c r="K8" s="178"/>
      <c r="L8" s="178"/>
    </row>
    <row r="9" spans="1:14" s="20" customFormat="1" x14ac:dyDescent="0.35">
      <c r="A9" s="4"/>
      <c r="B9" s="45" t="s">
        <v>0</v>
      </c>
      <c r="C9" s="46"/>
      <c r="D9" s="244">
        <v>3889034.611</v>
      </c>
      <c r="E9" s="46"/>
      <c r="F9" s="247">
        <f>141488004/1000</f>
        <v>141488.00399999999</v>
      </c>
      <c r="G9" s="16"/>
      <c r="H9" s="17">
        <f>(F9/D9)*100</f>
        <v>3.6381266343016354</v>
      </c>
      <c r="I9" s="29"/>
      <c r="J9" s="17">
        <f>(F9/$F$8)*100</f>
        <v>52.086183031161539</v>
      </c>
      <c r="K9" s="179"/>
      <c r="L9" s="47"/>
    </row>
    <row r="10" spans="1:14" s="20" customFormat="1" x14ac:dyDescent="0.35">
      <c r="A10" s="4"/>
      <c r="B10" s="45" t="s">
        <v>1</v>
      </c>
      <c r="C10" s="46"/>
      <c r="D10" s="244">
        <v>3824433.5939999986</v>
      </c>
      <c r="E10" s="46"/>
      <c r="F10" s="248">
        <f>130154101/1000</f>
        <v>130154.101</v>
      </c>
      <c r="G10" s="16"/>
      <c r="H10" s="17">
        <f>(F10/D10)*100</f>
        <v>3.4032255444098589</v>
      </c>
      <c r="I10" s="29"/>
      <c r="J10" s="17">
        <f>(F10/$F$8)*100</f>
        <v>47.913816968838468</v>
      </c>
      <c r="K10" s="179"/>
      <c r="L10" s="47"/>
    </row>
    <row r="11" spans="1:14" s="20" customFormat="1" x14ac:dyDescent="0.35">
      <c r="A11" s="4"/>
      <c r="B11" s="86" t="s">
        <v>298</v>
      </c>
      <c r="C11" s="87"/>
      <c r="D11" s="245">
        <f t="shared" ref="D11" si="0">SUM(D12:D27)</f>
        <v>7713468.0999999968</v>
      </c>
      <c r="E11" s="87"/>
      <c r="F11" s="162">
        <f t="shared" ref="F11" si="1">SUM(F12:F27)</f>
        <v>271640.87300000002</v>
      </c>
      <c r="G11" s="68"/>
      <c r="H11" s="88">
        <f>F11*100/D11</f>
        <v>3.521643824520388</v>
      </c>
      <c r="I11" s="89"/>
      <c r="J11" s="88">
        <f>SUM(J12:J27)</f>
        <v>99.999546462062654</v>
      </c>
      <c r="K11" s="179"/>
      <c r="L11" s="178"/>
    </row>
    <row r="12" spans="1:14" s="20" customFormat="1" x14ac:dyDescent="0.35">
      <c r="A12" s="4"/>
      <c r="B12" s="49" t="s">
        <v>3</v>
      </c>
      <c r="C12" s="50"/>
      <c r="D12" s="244">
        <v>677369.13399999985</v>
      </c>
      <c r="E12" s="15"/>
      <c r="F12" s="248">
        <f>7595437/1000</f>
        <v>7595.4369999999999</v>
      </c>
      <c r="G12" s="16"/>
      <c r="H12" s="17">
        <f>(F12/D12)*100</f>
        <v>1.1213143054138635</v>
      </c>
      <c r="I12" s="29"/>
      <c r="J12" s="17">
        <f>(F12/$F$8)*100</f>
        <v>2.7961191804193977</v>
      </c>
      <c r="K12" s="179"/>
      <c r="L12" s="47"/>
    </row>
    <row r="13" spans="1:14" s="20" customFormat="1" x14ac:dyDescent="0.35">
      <c r="A13" s="4"/>
      <c r="B13" s="51" t="s">
        <v>4</v>
      </c>
      <c r="C13" s="52"/>
      <c r="D13" s="244">
        <v>661763.58399999957</v>
      </c>
      <c r="E13" s="52"/>
      <c r="F13" s="248">
        <f>9022084/1000</f>
        <v>9022.0840000000007</v>
      </c>
      <c r="G13" s="16"/>
      <c r="H13" s="17">
        <f t="shared" ref="H13:H44" si="2">(F13/D13)*100</f>
        <v>1.3633394490319983</v>
      </c>
      <c r="I13" s="29"/>
      <c r="J13" s="17">
        <f t="shared" ref="J13:J27" si="3">(F13/$F$8)*100</f>
        <v>3.3213127986914994</v>
      </c>
      <c r="K13" s="179"/>
      <c r="L13" s="47"/>
    </row>
    <row r="14" spans="1:14" s="20" customFormat="1" x14ac:dyDescent="0.35">
      <c r="A14" s="4"/>
      <c r="B14" s="51" t="s">
        <v>5</v>
      </c>
      <c r="C14" s="52"/>
      <c r="D14" s="244">
        <v>636147.75899999973</v>
      </c>
      <c r="E14" s="15"/>
      <c r="F14" s="248">
        <f>9383340/1000</f>
        <v>9383.34</v>
      </c>
      <c r="G14" s="16"/>
      <c r="H14" s="17">
        <f t="shared" si="2"/>
        <v>1.4750252385939795</v>
      </c>
      <c r="I14" s="29"/>
      <c r="J14" s="17">
        <f t="shared" si="3"/>
        <v>3.4543024911399511</v>
      </c>
      <c r="K14" s="179"/>
      <c r="L14" s="47"/>
      <c r="M14" s="180"/>
      <c r="N14" s="180"/>
    </row>
    <row r="15" spans="1:14" s="20" customFormat="1" x14ac:dyDescent="0.35">
      <c r="A15" s="4"/>
      <c r="B15" s="51" t="s">
        <v>6</v>
      </c>
      <c r="C15" s="52"/>
      <c r="D15" s="244">
        <v>608740.40299999993</v>
      </c>
      <c r="E15" s="15"/>
      <c r="F15" s="248">
        <f>11857270/1000</f>
        <v>11857.27</v>
      </c>
      <c r="G15" s="16"/>
      <c r="H15" s="17">
        <f t="shared" si="2"/>
        <v>1.9478368679924802</v>
      </c>
      <c r="I15" s="29"/>
      <c r="J15" s="17">
        <f t="shared" si="3"/>
        <v>4.3650339110720706</v>
      </c>
      <c r="K15" s="179"/>
      <c r="L15" s="47"/>
      <c r="M15" s="181"/>
      <c r="N15" s="179"/>
    </row>
    <row r="16" spans="1:14" s="20" customFormat="1" x14ac:dyDescent="0.35">
      <c r="A16" s="4"/>
      <c r="B16" s="49" t="s">
        <v>7</v>
      </c>
      <c r="C16" s="50"/>
      <c r="D16" s="244">
        <v>596644.39399999997</v>
      </c>
      <c r="E16" s="15"/>
      <c r="F16" s="248">
        <f>19062201/1000</f>
        <v>19062.201000000001</v>
      </c>
      <c r="G16" s="16"/>
      <c r="H16" s="17">
        <f t="shared" si="2"/>
        <v>3.1949015513585803</v>
      </c>
      <c r="I16" s="29"/>
      <c r="J16" s="17">
        <f t="shared" si="3"/>
        <v>7.0173955543453044</v>
      </c>
      <c r="K16" s="179"/>
      <c r="L16" s="47"/>
    </row>
    <row r="17" spans="1:14" s="20" customFormat="1" x14ac:dyDescent="0.35">
      <c r="A17" s="4"/>
      <c r="B17" s="49" t="s">
        <v>8</v>
      </c>
      <c r="C17" s="50"/>
      <c r="D17" s="244">
        <v>598331.0639999999</v>
      </c>
      <c r="E17" s="50"/>
      <c r="F17" s="248">
        <f>26696996/1000</f>
        <v>26696.995999999999</v>
      </c>
      <c r="G17" s="16"/>
      <c r="H17" s="17">
        <f t="shared" si="2"/>
        <v>4.4619104048390179</v>
      </c>
      <c r="I17" s="29"/>
      <c r="J17" s="17">
        <f t="shared" si="3"/>
        <v>9.8280036520847904</v>
      </c>
      <c r="K17" s="179"/>
      <c r="L17" s="47"/>
    </row>
    <row r="18" spans="1:14" s="20" customFormat="1" x14ac:dyDescent="0.35">
      <c r="A18" s="4"/>
      <c r="B18" s="49" t="s">
        <v>9</v>
      </c>
      <c r="C18" s="50"/>
      <c r="D18" s="244">
        <v>599462.46100000013</v>
      </c>
      <c r="E18" s="15"/>
      <c r="F18" s="248">
        <f>29381164/1000</f>
        <v>29381.164000000001</v>
      </c>
      <c r="G18" s="16"/>
      <c r="H18" s="17">
        <f t="shared" si="2"/>
        <v>4.901251689886883</v>
      </c>
      <c r="I18" s="29"/>
      <c r="J18" s="17">
        <f t="shared" si="3"/>
        <v>10.816130290258206</v>
      </c>
      <c r="K18" s="179"/>
      <c r="L18" s="47"/>
    </row>
    <row r="19" spans="1:14" s="20" customFormat="1" x14ac:dyDescent="0.35">
      <c r="A19" s="4"/>
      <c r="B19" s="49" t="s">
        <v>10</v>
      </c>
      <c r="C19" s="50"/>
      <c r="D19" s="244">
        <v>533441.73199999984</v>
      </c>
      <c r="E19" s="50"/>
      <c r="F19" s="248">
        <f>28593482/1000</f>
        <v>28593.482</v>
      </c>
      <c r="G19" s="16"/>
      <c r="H19" s="17">
        <f t="shared" si="2"/>
        <v>5.3601884301020544</v>
      </c>
      <c r="I19" s="29"/>
      <c r="J19" s="17">
        <f t="shared" si="3"/>
        <v>10.526159779243354</v>
      </c>
      <c r="K19" s="179"/>
      <c r="L19" s="47"/>
    </row>
    <row r="20" spans="1:14" s="20" customFormat="1" x14ac:dyDescent="0.35">
      <c r="A20" s="4"/>
      <c r="B20" s="49" t="s">
        <v>11</v>
      </c>
      <c r="C20" s="50"/>
      <c r="D20" s="244">
        <v>490289.34700000013</v>
      </c>
      <c r="E20" s="15"/>
      <c r="F20" s="248">
        <f>26174267/1000</f>
        <v>26174.267</v>
      </c>
      <c r="G20" s="16"/>
      <c r="H20" s="17">
        <f t="shared" si="2"/>
        <v>5.3385347163172181</v>
      </c>
      <c r="I20" s="29"/>
      <c r="J20" s="17">
        <f t="shared" si="3"/>
        <v>9.6355706711962057</v>
      </c>
      <c r="K20" s="179"/>
      <c r="L20" s="47"/>
    </row>
    <row r="21" spans="1:14" s="20" customFormat="1" x14ac:dyDescent="0.35">
      <c r="A21" s="4"/>
      <c r="B21" s="49" t="s">
        <v>12</v>
      </c>
      <c r="C21" s="50"/>
      <c r="D21" s="244">
        <v>476918.84599999973</v>
      </c>
      <c r="E21" s="15"/>
      <c r="F21" s="248">
        <f>23120787/1000</f>
        <v>23120.787</v>
      </c>
      <c r="G21" s="16"/>
      <c r="H21" s="17">
        <f t="shared" si="2"/>
        <v>4.8479499591844633</v>
      </c>
      <c r="I21" s="29"/>
      <c r="J21" s="17">
        <f t="shared" si="3"/>
        <v>8.5114886736722948</v>
      </c>
      <c r="K21" s="179"/>
      <c r="L21" s="47"/>
    </row>
    <row r="22" spans="1:14" s="20" customFormat="1" x14ac:dyDescent="0.35">
      <c r="A22" s="4"/>
      <c r="B22" s="49" t="s">
        <v>13</v>
      </c>
      <c r="C22" s="50"/>
      <c r="D22" s="244">
        <v>438337.15099999984</v>
      </c>
      <c r="E22" s="15"/>
      <c r="F22" s="248">
        <f>19898197/1000</f>
        <v>19898.197</v>
      </c>
      <c r="G22" s="16"/>
      <c r="H22" s="17">
        <f t="shared" si="2"/>
        <v>4.539473087007404</v>
      </c>
      <c r="I22" s="29"/>
      <c r="J22" s="17">
        <f t="shared" si="3"/>
        <v>7.3251519678806787</v>
      </c>
      <c r="K22" s="179"/>
      <c r="L22" s="47"/>
    </row>
    <row r="23" spans="1:14" s="20" customFormat="1" x14ac:dyDescent="0.35">
      <c r="A23" s="4"/>
      <c r="B23" s="49" t="s">
        <v>14</v>
      </c>
      <c r="C23" s="50"/>
      <c r="D23" s="244">
        <v>377759.81199999992</v>
      </c>
      <c r="E23" s="50"/>
      <c r="F23" s="248">
        <f>15049975/1000</f>
        <v>15049.975</v>
      </c>
      <c r="G23" s="16"/>
      <c r="H23" s="17">
        <f t="shared" si="2"/>
        <v>3.9840063770468004</v>
      </c>
      <c r="I23" s="29"/>
      <c r="J23" s="17">
        <f t="shared" si="3"/>
        <v>5.5403690086998854</v>
      </c>
      <c r="K23" s="179"/>
      <c r="L23" s="47"/>
    </row>
    <row r="24" spans="1:14" s="20" customFormat="1" x14ac:dyDescent="0.35">
      <c r="A24" s="4"/>
      <c r="B24" s="49" t="s">
        <v>15</v>
      </c>
      <c r="C24" s="50"/>
      <c r="D24" s="244">
        <v>315329.2900000001</v>
      </c>
      <c r="E24" s="15"/>
      <c r="F24" s="248">
        <f>13641856/1000</f>
        <v>13641.856</v>
      </c>
      <c r="G24" s="16"/>
      <c r="H24" s="17">
        <f t="shared" si="2"/>
        <v>4.3262254514954819</v>
      </c>
      <c r="I24" s="29"/>
      <c r="J24" s="17">
        <f t="shared" si="3"/>
        <v>5.0219961297973308</v>
      </c>
      <c r="K24" s="179"/>
      <c r="L24" s="47"/>
    </row>
    <row r="25" spans="1:14" s="20" customFormat="1" x14ac:dyDescent="0.35">
      <c r="A25" s="4"/>
      <c r="B25" s="53" t="s">
        <v>47</v>
      </c>
      <c r="C25" s="50"/>
      <c r="D25" s="244">
        <v>260475.367</v>
      </c>
      <c r="E25" s="50"/>
      <c r="F25" s="248">
        <f>10640358/1000</f>
        <v>10640.358</v>
      </c>
      <c r="G25" s="16"/>
      <c r="H25" s="17">
        <f t="shared" si="2"/>
        <v>4.0849766803476664</v>
      </c>
      <c r="I25" s="29"/>
      <c r="J25" s="17">
        <f t="shared" si="3"/>
        <v>3.9170503409256088</v>
      </c>
      <c r="K25" s="179"/>
      <c r="L25" s="47"/>
    </row>
    <row r="26" spans="1:14" s="20" customFormat="1" x14ac:dyDescent="0.35">
      <c r="A26" s="4"/>
      <c r="B26" s="53" t="s">
        <v>48</v>
      </c>
      <c r="C26" s="50"/>
      <c r="D26" s="244">
        <v>179308.1290000001</v>
      </c>
      <c r="E26" s="50"/>
      <c r="F26" s="248">
        <f>8137941/1000</f>
        <v>8137.9409999999998</v>
      </c>
      <c r="G26" s="16"/>
      <c r="H26" s="17">
        <f t="shared" si="2"/>
        <v>4.5385231809540523</v>
      </c>
      <c r="I26" s="29"/>
      <c r="J26" s="17">
        <f t="shared" si="3"/>
        <v>2.9958319605865227</v>
      </c>
      <c r="K26" s="179"/>
      <c r="L26" s="47"/>
    </row>
    <row r="27" spans="1:14" s="20" customFormat="1" x14ac:dyDescent="0.35">
      <c r="A27" s="4"/>
      <c r="B27" s="53" t="s">
        <v>49</v>
      </c>
      <c r="C27" s="50"/>
      <c r="D27" s="244">
        <v>263149.6269999998</v>
      </c>
      <c r="E27" s="50"/>
      <c r="F27" s="248">
        <f>13385518/1000</f>
        <v>13385.518</v>
      </c>
      <c r="G27" s="16"/>
      <c r="H27" s="17">
        <f t="shared" si="2"/>
        <v>5.086656649526625</v>
      </c>
      <c r="I27" s="29"/>
      <c r="J27" s="17">
        <f t="shared" si="3"/>
        <v>4.9276300520495528</v>
      </c>
      <c r="K27" s="179"/>
      <c r="L27" s="47"/>
    </row>
    <row r="28" spans="1:14" s="20" customFormat="1" x14ac:dyDescent="0.35">
      <c r="A28" s="4"/>
      <c r="B28" s="86" t="s">
        <v>345</v>
      </c>
      <c r="C28" s="87"/>
      <c r="D28" s="245">
        <f t="shared" ref="D28" si="4">SUM(D29:D44)</f>
        <v>3824433.594</v>
      </c>
      <c r="E28" s="87"/>
      <c r="F28" s="162">
        <f t="shared" ref="F28" si="5">SUM(F29:F44)</f>
        <v>130153.54399999998</v>
      </c>
      <c r="G28" s="68"/>
      <c r="H28" s="88">
        <f t="shared" si="2"/>
        <v>3.4032109801616803</v>
      </c>
      <c r="I28" s="89"/>
      <c r="J28" s="88">
        <f>SUM(J29:J44)</f>
        <v>47.913829227017679</v>
      </c>
      <c r="K28" s="179"/>
      <c r="L28" s="16"/>
    </row>
    <row r="29" spans="1:14" s="20" customFormat="1" x14ac:dyDescent="0.35">
      <c r="A29" s="4"/>
      <c r="B29" s="49" t="s">
        <v>3</v>
      </c>
      <c r="C29" s="50"/>
      <c r="D29" s="244">
        <v>328119.05900000012</v>
      </c>
      <c r="E29" s="15"/>
      <c r="F29" s="247">
        <f>3663576/1000</f>
        <v>3663.576</v>
      </c>
      <c r="G29" s="16"/>
      <c r="H29" s="17">
        <f t="shared" si="2"/>
        <v>1.1165386159418427</v>
      </c>
      <c r="I29" s="29"/>
      <c r="J29" s="17">
        <f>(F29/$F$11)*100</f>
        <v>1.3486836349550386</v>
      </c>
      <c r="K29" s="179"/>
      <c r="L29" s="47"/>
    </row>
    <row r="30" spans="1:14" s="20" customFormat="1" x14ac:dyDescent="0.35">
      <c r="A30" s="4"/>
      <c r="B30" s="51" t="s">
        <v>4</v>
      </c>
      <c r="C30" s="52"/>
      <c r="D30" s="244">
        <v>320090.53699999972</v>
      </c>
      <c r="E30" s="52"/>
      <c r="F30" s="247">
        <f>4352113/1000</f>
        <v>4352.1130000000003</v>
      </c>
      <c r="G30" s="16"/>
      <c r="H30" s="17">
        <f t="shared" si="2"/>
        <v>1.3596506290968557</v>
      </c>
      <c r="I30" s="29"/>
      <c r="J30" s="17">
        <f t="shared" ref="J30:J44" si="6">(F30/$F$11)*100</f>
        <v>1.6021569036851091</v>
      </c>
      <c r="K30" s="179"/>
      <c r="L30" s="47"/>
    </row>
    <row r="31" spans="1:14" s="20" customFormat="1" x14ac:dyDescent="0.35">
      <c r="A31" s="4"/>
      <c r="B31" s="51" t="s">
        <v>5</v>
      </c>
      <c r="C31" s="52"/>
      <c r="D31" s="244">
        <v>307203.26099999982</v>
      </c>
      <c r="E31" s="15"/>
      <c r="F31" s="247">
        <f>4525650/1000</f>
        <v>4525.6499999999996</v>
      </c>
      <c r="G31" s="16"/>
      <c r="H31" s="17">
        <f t="shared" si="2"/>
        <v>1.4731777212482136</v>
      </c>
      <c r="I31" s="29"/>
      <c r="J31" s="17">
        <f t="shared" si="6"/>
        <v>1.6660416195908776</v>
      </c>
      <c r="K31" s="179"/>
      <c r="L31" s="47"/>
      <c r="M31" s="180"/>
      <c r="N31" s="180"/>
    </row>
    <row r="32" spans="1:14" s="20" customFormat="1" x14ac:dyDescent="0.35">
      <c r="A32" s="4"/>
      <c r="B32" s="51" t="s">
        <v>6</v>
      </c>
      <c r="C32" s="52"/>
      <c r="D32" s="244">
        <v>293931.99899999989</v>
      </c>
      <c r="E32" s="15"/>
      <c r="F32" s="247">
        <f>5730772/1000</f>
        <v>5730.7719999999999</v>
      </c>
      <c r="G32" s="16"/>
      <c r="H32" s="17">
        <f t="shared" si="2"/>
        <v>1.9496931329344653</v>
      </c>
      <c r="I32" s="29"/>
      <c r="J32" s="17">
        <f t="shared" si="6"/>
        <v>2.1096869321282146</v>
      </c>
      <c r="K32" s="179"/>
      <c r="L32" s="47"/>
      <c r="M32" s="181"/>
      <c r="N32" s="179"/>
    </row>
    <row r="33" spans="1:14" s="20" customFormat="1" x14ac:dyDescent="0.35">
      <c r="A33" s="4"/>
      <c r="B33" s="49" t="s">
        <v>7</v>
      </c>
      <c r="C33" s="50"/>
      <c r="D33" s="244">
        <v>288834.39299999998</v>
      </c>
      <c r="E33" s="15"/>
      <c r="F33" s="247">
        <f>9000234/1000</f>
        <v>9000.2340000000004</v>
      </c>
      <c r="G33" s="16"/>
      <c r="H33" s="17">
        <f t="shared" si="2"/>
        <v>3.1160534265045094</v>
      </c>
      <c r="I33" s="29"/>
      <c r="J33" s="17">
        <f t="shared" si="6"/>
        <v>3.3132841536700557</v>
      </c>
      <c r="K33" s="179"/>
      <c r="L33" s="47"/>
    </row>
    <row r="34" spans="1:14" s="20" customFormat="1" x14ac:dyDescent="0.35">
      <c r="A34" s="4"/>
      <c r="B34" s="49" t="s">
        <v>8</v>
      </c>
      <c r="C34" s="50"/>
      <c r="D34" s="244">
        <v>290783.75800000032</v>
      </c>
      <c r="E34" s="50"/>
      <c r="F34" s="247">
        <f>12434723/1000</f>
        <v>12434.723</v>
      </c>
      <c r="G34" s="16"/>
      <c r="H34" s="17">
        <f t="shared" si="2"/>
        <v>4.276278388286042</v>
      </c>
      <c r="I34" s="29"/>
      <c r="J34" s="17">
        <f t="shared" si="6"/>
        <v>4.5776332783321596</v>
      </c>
      <c r="K34" s="179"/>
      <c r="L34" s="47"/>
    </row>
    <row r="35" spans="1:14" s="20" customFormat="1" x14ac:dyDescent="0.35">
      <c r="A35" s="4"/>
      <c r="B35" s="49" t="s">
        <v>9</v>
      </c>
      <c r="C35" s="50"/>
      <c r="D35" s="244">
        <v>293702.43400000001</v>
      </c>
      <c r="E35" s="15"/>
      <c r="F35" s="247">
        <f>13487108/1000</f>
        <v>13487.108</v>
      </c>
      <c r="G35" s="16"/>
      <c r="H35" s="17">
        <f t="shared" si="2"/>
        <v>4.5920994989098389</v>
      </c>
      <c r="I35" s="29"/>
      <c r="J35" s="17">
        <f t="shared" si="6"/>
        <v>4.9650510436991562</v>
      </c>
      <c r="K35" s="179"/>
      <c r="L35" s="47"/>
    </row>
    <row r="36" spans="1:14" s="20" customFormat="1" x14ac:dyDescent="0.35">
      <c r="A36" s="4"/>
      <c r="B36" s="49" t="s">
        <v>10</v>
      </c>
      <c r="C36" s="50"/>
      <c r="D36" s="244">
        <v>262936.5120000001</v>
      </c>
      <c r="E36" s="50"/>
      <c r="F36" s="247">
        <f>13089223/1000</f>
        <v>13089.223</v>
      </c>
      <c r="G36" s="16"/>
      <c r="H36" s="17">
        <f t="shared" si="2"/>
        <v>4.9780925822884559</v>
      </c>
      <c r="I36" s="29"/>
      <c r="J36" s="17">
        <f t="shared" si="6"/>
        <v>4.8185764003195493</v>
      </c>
      <c r="K36" s="179"/>
      <c r="L36" s="47"/>
    </row>
    <row r="37" spans="1:14" s="20" customFormat="1" x14ac:dyDescent="0.35">
      <c r="A37" s="4"/>
      <c r="B37" s="49" t="s">
        <v>11</v>
      </c>
      <c r="C37" s="50"/>
      <c r="D37" s="244">
        <v>242696.59899999999</v>
      </c>
      <c r="E37" s="15"/>
      <c r="F37" s="247">
        <f>12019120/1000</f>
        <v>12019.12</v>
      </c>
      <c r="G37" s="16"/>
      <c r="H37" s="17">
        <f t="shared" si="2"/>
        <v>4.9523232091109781</v>
      </c>
      <c r="I37" s="29"/>
      <c r="J37" s="17">
        <f t="shared" si="6"/>
        <v>4.4246360524691735</v>
      </c>
      <c r="K37" s="179"/>
      <c r="L37" s="47"/>
    </row>
    <row r="38" spans="1:14" s="20" customFormat="1" x14ac:dyDescent="0.35">
      <c r="A38" s="4"/>
      <c r="B38" s="49" t="s">
        <v>12</v>
      </c>
      <c r="C38" s="50"/>
      <c r="D38" s="244">
        <v>237022.34999999974</v>
      </c>
      <c r="E38" s="15"/>
      <c r="F38" s="247">
        <f>10675470/1000</f>
        <v>10675.47</v>
      </c>
      <c r="G38" s="16"/>
      <c r="H38" s="17">
        <f t="shared" si="2"/>
        <v>4.5039929778774068</v>
      </c>
      <c r="I38" s="29"/>
      <c r="J38" s="17">
        <f t="shared" si="6"/>
        <v>3.9299939961538848</v>
      </c>
      <c r="K38" s="179"/>
      <c r="L38" s="47"/>
    </row>
    <row r="39" spans="1:14" s="20" customFormat="1" x14ac:dyDescent="0.35">
      <c r="A39" s="4"/>
      <c r="B39" s="49" t="s">
        <v>13</v>
      </c>
      <c r="C39" s="50"/>
      <c r="D39" s="244">
        <v>219504.64800000004</v>
      </c>
      <c r="E39" s="15"/>
      <c r="F39" s="247">
        <f>9356968/1000</f>
        <v>9356.9680000000008</v>
      </c>
      <c r="G39" s="16"/>
      <c r="H39" s="17">
        <f t="shared" si="2"/>
        <v>4.2627653151107756</v>
      </c>
      <c r="I39" s="29"/>
      <c r="J39" s="17">
        <f t="shared" si="6"/>
        <v>3.4446097513462197</v>
      </c>
      <c r="K39" s="179"/>
      <c r="L39" s="47"/>
    </row>
    <row r="40" spans="1:14" s="20" customFormat="1" x14ac:dyDescent="0.35">
      <c r="A40" s="4"/>
      <c r="B40" s="49" t="s">
        <v>14</v>
      </c>
      <c r="C40" s="50"/>
      <c r="D40" s="244">
        <v>190624.97900000017</v>
      </c>
      <c r="E40" s="50"/>
      <c r="F40" s="247">
        <f>7269466/1000</f>
        <v>7269.4660000000003</v>
      </c>
      <c r="G40" s="16"/>
      <c r="H40" s="17">
        <f t="shared" si="2"/>
        <v>3.8134907807648823</v>
      </c>
      <c r="I40" s="29"/>
      <c r="J40" s="17">
        <f t="shared" si="6"/>
        <v>2.6761311431950814</v>
      </c>
      <c r="K40" s="179"/>
      <c r="L40" s="47"/>
    </row>
    <row r="41" spans="1:14" s="20" customFormat="1" x14ac:dyDescent="0.35">
      <c r="A41" s="4"/>
      <c r="B41" s="49" t="s">
        <v>15</v>
      </c>
      <c r="C41" s="50"/>
      <c r="D41" s="244">
        <v>161570.70700000002</v>
      </c>
      <c r="E41" s="15"/>
      <c r="F41" s="247">
        <f>6869048/1000</f>
        <v>6869.0479999999998</v>
      </c>
      <c r="G41" s="16"/>
      <c r="H41" s="17">
        <f t="shared" si="2"/>
        <v>4.2514191634997296</v>
      </c>
      <c r="I41" s="29"/>
      <c r="J41" s="17">
        <f t="shared" si="6"/>
        <v>2.5287240186420692</v>
      </c>
      <c r="K41" s="179"/>
      <c r="L41" s="47"/>
    </row>
    <row r="42" spans="1:14" s="20" customFormat="1" x14ac:dyDescent="0.35">
      <c r="A42" s="4"/>
      <c r="B42" s="53" t="s">
        <v>47</v>
      </c>
      <c r="C42" s="50"/>
      <c r="D42" s="244">
        <v>136004.171</v>
      </c>
      <c r="E42" s="50"/>
      <c r="F42" s="247">
        <f>5532248/1000</f>
        <v>5532.2479999999996</v>
      </c>
      <c r="G42" s="16"/>
      <c r="H42" s="17">
        <f t="shared" si="2"/>
        <v>4.0677046588519703</v>
      </c>
      <c r="I42" s="29"/>
      <c r="J42" s="17">
        <f t="shared" si="6"/>
        <v>2.0366036741459004</v>
      </c>
      <c r="K42" s="179"/>
      <c r="L42" s="47"/>
    </row>
    <row r="43" spans="1:14" s="20" customFormat="1" x14ac:dyDescent="0.35">
      <c r="A43" s="4"/>
      <c r="B43" s="53" t="s">
        <v>48</v>
      </c>
      <c r="C43" s="50"/>
      <c r="D43" s="244">
        <v>96515.001999999949</v>
      </c>
      <c r="E43" s="50"/>
      <c r="F43" s="247">
        <f>4362367/1000</f>
        <v>4362.3670000000002</v>
      </c>
      <c r="G43" s="16"/>
      <c r="H43" s="17">
        <f t="shared" si="2"/>
        <v>4.5198848983083506</v>
      </c>
      <c r="I43" s="29"/>
      <c r="J43" s="17">
        <f t="shared" si="6"/>
        <v>1.6059317406184306</v>
      </c>
      <c r="K43" s="179"/>
      <c r="L43" s="47"/>
    </row>
    <row r="44" spans="1:14" s="20" customFormat="1" x14ac:dyDescent="0.35">
      <c r="A44" s="4"/>
      <c r="B44" s="53" t="s">
        <v>49</v>
      </c>
      <c r="C44" s="50"/>
      <c r="D44" s="244">
        <v>154893.18499999997</v>
      </c>
      <c r="E44" s="50"/>
      <c r="F44" s="244">
        <f>7785458/1000</f>
        <v>7785.4579999999996</v>
      </c>
      <c r="G44" s="16"/>
      <c r="H44" s="17">
        <f t="shared" si="2"/>
        <v>5.0263399258011265</v>
      </c>
      <c r="I44" s="29"/>
      <c r="J44" s="17">
        <f t="shared" si="6"/>
        <v>2.8660848840667654</v>
      </c>
      <c r="K44" s="179"/>
      <c r="L44" s="47"/>
    </row>
    <row r="45" spans="1:14" s="20" customFormat="1" x14ac:dyDescent="0.35">
      <c r="A45" s="4"/>
      <c r="B45" s="86" t="s">
        <v>344</v>
      </c>
      <c r="C45" s="87"/>
      <c r="D45" s="245">
        <f t="shared" ref="D45" si="7">SUM(D46:D61)</f>
        <v>3889034.611</v>
      </c>
      <c r="E45" s="87"/>
      <c r="F45" s="249">
        <f>SUM(F46:F61)</f>
        <v>141487.32899999997</v>
      </c>
      <c r="G45" s="68"/>
      <c r="H45" s="88">
        <f t="shared" ref="H45:H61" si="8">(F45/D45)*100</f>
        <v>3.6381092778091499</v>
      </c>
      <c r="I45" s="89"/>
      <c r="J45" s="88">
        <f>SUM(J46:J61)</f>
        <v>52.0861707729823</v>
      </c>
      <c r="K45" s="179"/>
      <c r="L45" s="16"/>
    </row>
    <row r="46" spans="1:14" s="20" customFormat="1" x14ac:dyDescent="0.35">
      <c r="A46" s="4"/>
      <c r="B46" s="49" t="s">
        <v>3</v>
      </c>
      <c r="C46" s="50"/>
      <c r="D46" s="244">
        <v>349247.348</v>
      </c>
      <c r="E46" s="15"/>
      <c r="F46" s="247">
        <f>3931861/1000</f>
        <v>3931.8609999999999</v>
      </c>
      <c r="G46" s="16"/>
      <c r="H46" s="17">
        <f t="shared" si="8"/>
        <v>1.1258098372160008</v>
      </c>
      <c r="I46" s="29"/>
      <c r="J46" s="17">
        <f>(F46/$F$11)*100</f>
        <v>1.4474482269831315</v>
      </c>
      <c r="K46" s="179"/>
      <c r="L46" s="47"/>
    </row>
    <row r="47" spans="1:14" s="20" customFormat="1" x14ac:dyDescent="0.35">
      <c r="A47" s="4"/>
      <c r="B47" s="51" t="s">
        <v>4</v>
      </c>
      <c r="C47" s="52"/>
      <c r="D47" s="244">
        <v>341670.61999999994</v>
      </c>
      <c r="E47" s="52"/>
      <c r="F47" s="247">
        <f>4669971/1000</f>
        <v>4669.9709999999995</v>
      </c>
      <c r="G47" s="16"/>
      <c r="H47" s="17">
        <f t="shared" si="8"/>
        <v>1.3668049655542522</v>
      </c>
      <c r="I47" s="29"/>
      <c r="J47" s="17">
        <f t="shared" ref="J47:J61" si="9">(F47/$F$11)*100</f>
        <v>1.719170958488268</v>
      </c>
      <c r="K47" s="179"/>
      <c r="L47" s="47"/>
    </row>
    <row r="48" spans="1:14" s="20" customFormat="1" x14ac:dyDescent="0.35">
      <c r="A48" s="4"/>
      <c r="B48" s="51" t="s">
        <v>5</v>
      </c>
      <c r="C48" s="52"/>
      <c r="D48" s="244">
        <v>328942.13</v>
      </c>
      <c r="E48" s="15"/>
      <c r="F48" s="247">
        <f>4857690/1000</f>
        <v>4857.6899999999996</v>
      </c>
      <c r="G48" s="16"/>
      <c r="H48" s="17">
        <f t="shared" si="8"/>
        <v>1.4767612771279859</v>
      </c>
      <c r="I48" s="29"/>
      <c r="J48" s="17">
        <f t="shared" si="9"/>
        <v>1.7882765381923946</v>
      </c>
      <c r="K48" s="179"/>
      <c r="L48" s="47"/>
      <c r="M48" s="180"/>
      <c r="N48" s="180"/>
    </row>
    <row r="49" spans="1:14" s="20" customFormat="1" x14ac:dyDescent="0.35">
      <c r="A49" s="4"/>
      <c r="B49" s="51" t="s">
        <v>6</v>
      </c>
      <c r="C49" s="52"/>
      <c r="D49" s="244">
        <v>314806.14699999994</v>
      </c>
      <c r="E49" s="15"/>
      <c r="F49" s="247">
        <f>6126498/1000</f>
        <v>6126.4979999999996</v>
      </c>
      <c r="G49" s="16"/>
      <c r="H49" s="17">
        <f t="shared" si="8"/>
        <v>1.9461176531600577</v>
      </c>
      <c r="I49" s="29"/>
      <c r="J49" s="17">
        <f t="shared" si="9"/>
        <v>2.2553667761184082</v>
      </c>
      <c r="K49" s="179"/>
      <c r="L49" s="47"/>
      <c r="M49" s="181"/>
      <c r="N49" s="179"/>
    </row>
    <row r="50" spans="1:14" s="20" customFormat="1" x14ac:dyDescent="0.35">
      <c r="A50" s="4"/>
      <c r="B50" s="49" t="s">
        <v>7</v>
      </c>
      <c r="C50" s="50"/>
      <c r="D50" s="244">
        <v>307809.03100000002</v>
      </c>
      <c r="E50" s="15"/>
      <c r="F50" s="247">
        <f>10061967/1000</f>
        <v>10061.967000000001</v>
      </c>
      <c r="G50" s="16"/>
      <c r="H50" s="17">
        <f t="shared" si="8"/>
        <v>3.2688992156308756</v>
      </c>
      <c r="I50" s="29"/>
      <c r="J50" s="17">
        <f t="shared" si="9"/>
        <v>3.7041432273706465</v>
      </c>
      <c r="K50" s="179"/>
      <c r="L50" s="47"/>
    </row>
    <row r="51" spans="1:14" s="20" customFormat="1" x14ac:dyDescent="0.35">
      <c r="A51" s="4"/>
      <c r="B51" s="49" t="s">
        <v>8</v>
      </c>
      <c r="C51" s="50"/>
      <c r="D51" s="244">
        <v>307548.36700000009</v>
      </c>
      <c r="E51" s="50"/>
      <c r="F51" s="247">
        <f>14262273/1000</f>
        <v>14262.272999999999</v>
      </c>
      <c r="G51" s="16"/>
      <c r="H51" s="17">
        <f t="shared" si="8"/>
        <v>4.637408138148233</v>
      </c>
      <c r="I51" s="29"/>
      <c r="J51" s="17">
        <f t="shared" si="9"/>
        <v>5.2504149476798352</v>
      </c>
      <c r="K51" s="179"/>
      <c r="L51" s="47"/>
    </row>
    <row r="52" spans="1:14" s="20" customFormat="1" x14ac:dyDescent="0.35">
      <c r="A52" s="4"/>
      <c r="B52" s="49" t="s">
        <v>9</v>
      </c>
      <c r="C52" s="50"/>
      <c r="D52" s="244">
        <v>305762.27100000001</v>
      </c>
      <c r="E52" s="15"/>
      <c r="F52" s="247">
        <f>15894056/1000</f>
        <v>15894.056</v>
      </c>
      <c r="G52" s="16"/>
      <c r="H52" s="17">
        <f t="shared" si="8"/>
        <v>5.1981743686093953</v>
      </c>
      <c r="I52" s="29"/>
      <c r="J52" s="17">
        <f t="shared" si="9"/>
        <v>5.8511283020357538</v>
      </c>
      <c r="K52" s="179"/>
      <c r="L52" s="47"/>
    </row>
    <row r="53" spans="1:14" s="20" customFormat="1" x14ac:dyDescent="0.35">
      <c r="A53" s="4"/>
      <c r="B53" s="49" t="s">
        <v>10</v>
      </c>
      <c r="C53" s="50"/>
      <c r="D53" s="244">
        <v>270507.56000000011</v>
      </c>
      <c r="E53" s="50"/>
      <c r="F53" s="247">
        <f>15504259/1000</f>
        <v>15504.259</v>
      </c>
      <c r="G53" s="16"/>
      <c r="H53" s="17">
        <f t="shared" si="8"/>
        <v>5.7315436951189067</v>
      </c>
      <c r="I53" s="29"/>
      <c r="J53" s="17">
        <f t="shared" si="9"/>
        <v>5.7076311192682692</v>
      </c>
      <c r="K53" s="179"/>
      <c r="L53" s="47"/>
    </row>
    <row r="54" spans="1:14" s="20" customFormat="1" x14ac:dyDescent="0.35">
      <c r="A54" s="4"/>
      <c r="B54" s="49" t="s">
        <v>11</v>
      </c>
      <c r="C54" s="50"/>
      <c r="D54" s="244">
        <v>247594.38400000005</v>
      </c>
      <c r="E54" s="15"/>
      <c r="F54" s="247">
        <f>14155147/1000</f>
        <v>14155.147000000001</v>
      </c>
      <c r="G54" s="16"/>
      <c r="H54" s="17">
        <f t="shared" si="8"/>
        <v>5.7170711109505614</v>
      </c>
      <c r="I54" s="29"/>
      <c r="J54" s="17">
        <f t="shared" si="9"/>
        <v>5.2109783198937079</v>
      </c>
      <c r="K54" s="179"/>
      <c r="L54" s="47"/>
    </row>
    <row r="55" spans="1:14" s="20" customFormat="1" x14ac:dyDescent="0.35">
      <c r="A55" s="4"/>
      <c r="B55" s="49" t="s">
        <v>12</v>
      </c>
      <c r="C55" s="50"/>
      <c r="D55" s="244">
        <v>239897.30800000005</v>
      </c>
      <c r="E55" s="15"/>
      <c r="F55" s="247">
        <f>12445317/1000</f>
        <v>12445.316999999999</v>
      </c>
      <c r="G55" s="16"/>
      <c r="H55" s="17">
        <f t="shared" si="8"/>
        <v>5.187768509682483</v>
      </c>
      <c r="I55" s="29"/>
      <c r="J55" s="17">
        <f t="shared" si="9"/>
        <v>4.5815332805236562</v>
      </c>
      <c r="K55" s="179"/>
      <c r="L55" s="47"/>
    </row>
    <row r="56" spans="1:14" s="20" customFormat="1" x14ac:dyDescent="0.35">
      <c r="A56" s="4"/>
      <c r="B56" s="49" t="s">
        <v>13</v>
      </c>
      <c r="C56" s="50"/>
      <c r="D56" s="244">
        <v>218833.00199999986</v>
      </c>
      <c r="E56" s="15"/>
      <c r="F56" s="247">
        <f>10541229/1000</f>
        <v>10541.228999999999</v>
      </c>
      <c r="G56" s="16"/>
      <c r="H56" s="17">
        <f t="shared" si="8"/>
        <v>4.8170197838806805</v>
      </c>
      <c r="I56" s="29"/>
      <c r="J56" s="17">
        <f t="shared" si="9"/>
        <v>3.8805754390282785</v>
      </c>
      <c r="K56" s="179"/>
      <c r="L56" s="47"/>
    </row>
    <row r="57" spans="1:14" s="20" customFormat="1" x14ac:dyDescent="0.35">
      <c r="A57" s="4"/>
      <c r="B57" s="49" t="s">
        <v>14</v>
      </c>
      <c r="C57" s="50"/>
      <c r="D57" s="244">
        <v>187135.10799999995</v>
      </c>
      <c r="E57" s="50"/>
      <c r="F57" s="247">
        <f>7780509/1000</f>
        <v>7780.509</v>
      </c>
      <c r="G57" s="16"/>
      <c r="H57" s="17">
        <f t="shared" si="8"/>
        <v>4.157696053484524</v>
      </c>
      <c r="I57" s="29"/>
      <c r="J57" s="17">
        <f t="shared" si="9"/>
        <v>2.8642629932940906</v>
      </c>
      <c r="K57" s="179"/>
      <c r="L57" s="47"/>
    </row>
    <row r="58" spans="1:14" s="20" customFormat="1" x14ac:dyDescent="0.35">
      <c r="A58" s="4"/>
      <c r="B58" s="49" t="s">
        <v>15</v>
      </c>
      <c r="C58" s="50"/>
      <c r="D58" s="244">
        <v>153758.68000000005</v>
      </c>
      <c r="E58" s="15"/>
      <c r="F58" s="247">
        <f>6772808/1000</f>
        <v>6772.808</v>
      </c>
      <c r="G58" s="16"/>
      <c r="H58" s="17">
        <f t="shared" si="8"/>
        <v>4.4048296980697268</v>
      </c>
      <c r="I58" s="29"/>
      <c r="J58" s="17">
        <f t="shared" si="9"/>
        <v>2.4932948879162229</v>
      </c>
      <c r="K58" s="179"/>
      <c r="L58" s="47"/>
    </row>
    <row r="59" spans="1:14" s="20" customFormat="1" x14ac:dyDescent="0.35">
      <c r="A59" s="4"/>
      <c r="B59" s="53" t="s">
        <v>47</v>
      </c>
      <c r="C59" s="50"/>
      <c r="D59" s="244">
        <v>124471.23000000005</v>
      </c>
      <c r="E59" s="50"/>
      <c r="F59" s="247">
        <f>5108110/1000</f>
        <v>5108.1099999999997</v>
      </c>
      <c r="G59" s="16"/>
      <c r="H59" s="17">
        <f t="shared" si="8"/>
        <v>4.1038479333738387</v>
      </c>
      <c r="I59" s="29"/>
      <c r="J59" s="17">
        <f t="shared" si="9"/>
        <v>1.880464432169602</v>
      </c>
      <c r="K59" s="179"/>
      <c r="L59" s="47"/>
    </row>
    <row r="60" spans="1:14" s="20" customFormat="1" x14ac:dyDescent="0.35">
      <c r="A60" s="4"/>
      <c r="B60" s="53" t="s">
        <v>48</v>
      </c>
      <c r="C60" s="50"/>
      <c r="D60" s="244">
        <v>82793.262999999963</v>
      </c>
      <c r="E60" s="50"/>
      <c r="F60" s="247">
        <f>3775574/1000</f>
        <v>3775.5740000000001</v>
      </c>
      <c r="G60" s="16"/>
      <c r="H60" s="17">
        <f t="shared" si="8"/>
        <v>4.5602430236382903</v>
      </c>
      <c r="I60" s="29"/>
      <c r="J60" s="17">
        <f t="shared" si="9"/>
        <v>1.3899138072641961</v>
      </c>
      <c r="K60" s="179"/>
      <c r="L60" s="47"/>
    </row>
    <row r="61" spans="1:14" s="20" customFormat="1" x14ac:dyDescent="0.35">
      <c r="A61" s="4"/>
      <c r="B61" s="147" t="s">
        <v>49</v>
      </c>
      <c r="C61" s="148"/>
      <c r="D61" s="246">
        <v>108258.162</v>
      </c>
      <c r="E61" s="148"/>
      <c r="F61" s="250">
        <f>5600060/1000</f>
        <v>5600.06</v>
      </c>
      <c r="G61" s="149"/>
      <c r="H61" s="101">
        <f t="shared" si="8"/>
        <v>5.1728755564869093</v>
      </c>
      <c r="I61" s="103"/>
      <c r="J61" s="101">
        <f t="shared" si="9"/>
        <v>2.0615675167558454</v>
      </c>
      <c r="K61" s="179"/>
      <c r="L61" s="47"/>
    </row>
    <row r="62" spans="1:14" ht="9" customHeight="1" x14ac:dyDescent="0.35">
      <c r="B62" s="29"/>
      <c r="C62" s="29"/>
      <c r="D62" s="67"/>
      <c r="E62" s="67"/>
      <c r="F62" s="67"/>
      <c r="G62" s="67"/>
      <c r="H62" s="29"/>
      <c r="I62" s="29"/>
      <c r="J62" s="48" t="s">
        <v>354</v>
      </c>
    </row>
    <row r="63" spans="1:14" x14ac:dyDescent="0.35">
      <c r="B63" s="281" t="s">
        <v>359</v>
      </c>
      <c r="C63" s="281"/>
      <c r="D63" s="281"/>
      <c r="E63" s="281"/>
      <c r="F63" s="281"/>
      <c r="G63" s="281"/>
      <c r="H63" s="281"/>
      <c r="I63" s="281"/>
      <c r="J63" s="281"/>
      <c r="K63" s="281"/>
    </row>
    <row r="64" spans="1:14" x14ac:dyDescent="0.35">
      <c r="B64" s="281" t="s">
        <v>355</v>
      </c>
      <c r="C64" s="281"/>
      <c r="D64" s="281"/>
      <c r="E64" s="281"/>
      <c r="F64" s="281"/>
      <c r="G64" s="281"/>
      <c r="H64" s="281"/>
      <c r="I64" s="281"/>
      <c r="J64" s="281"/>
      <c r="K64" s="281"/>
    </row>
    <row r="65" spans="2:11" x14ac:dyDescent="0.35">
      <c r="B65" s="18" t="s">
        <v>356</v>
      </c>
      <c r="C65" s="18"/>
      <c r="D65" s="18"/>
      <c r="E65" s="117"/>
      <c r="F65" s="117"/>
      <c r="G65" s="117"/>
      <c r="H65" s="117"/>
      <c r="I65" s="117"/>
      <c r="J65" s="117"/>
      <c r="K65" s="117"/>
    </row>
    <row r="66" spans="2:11" ht="30.75" x14ac:dyDescent="0.35">
      <c r="F66" s="28"/>
      <c r="G66" s="28"/>
      <c r="H66" s="28"/>
      <c r="I66" s="28"/>
      <c r="J66" s="28"/>
    </row>
    <row r="67" spans="2:11" x14ac:dyDescent="0.35">
      <c r="C67" s="4"/>
      <c r="D67" s="4"/>
      <c r="E67" s="4"/>
      <c r="F67" s="4"/>
      <c r="G67" s="4"/>
    </row>
  </sheetData>
  <mergeCells count="8">
    <mergeCell ref="B64:K64"/>
    <mergeCell ref="K7:L7"/>
    <mergeCell ref="B6:B7"/>
    <mergeCell ref="D6:D7"/>
    <mergeCell ref="F6:F7"/>
    <mergeCell ref="H6:H7"/>
    <mergeCell ref="J6:J7"/>
    <mergeCell ref="B63:K63"/>
  </mergeCells>
  <hyperlinks>
    <hyperlink ref="C65" r:id="rId1" display="http://www.un.org/en/development/desa/population/migration/data/empirical2/index.shtml"/>
    <hyperlink ref="B65" r:id="rId2" display="https://www.un.org/en/development/desa/population/migration/data/estimates2/data/UN_MigrantStockByAgeAndSex_2019.xlsx"/>
    <hyperlink ref="J4" location="Contenido!A1" display="Contenido"/>
  </hyperlinks>
  <pageMargins left="0.7" right="0.7" top="0.75" bottom="0.75" header="0.3" footer="0.3"/>
  <ignoredErrors>
    <ignoredError sqref="J11 H11 J45" formula="1"/>
    <ignoredError sqref="B14 B31 B48" twoDigitTextYear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4"/>
  <sheetViews>
    <sheetView showGridLines="0" zoomScale="85" zoomScaleNormal="85" workbookViewId="0">
      <selection activeCell="J4" sqref="J4"/>
    </sheetView>
  </sheetViews>
  <sheetFormatPr baseColWidth="10" defaultColWidth="11.42578125" defaultRowHeight="21.75" customHeight="1" x14ac:dyDescent="0.35"/>
  <cols>
    <col min="1" max="1" width="2.85546875" style="1" customWidth="1"/>
    <col min="2" max="2" width="4.28515625" style="121" customWidth="1"/>
    <col min="3" max="3" width="30.85546875" style="1" customWidth="1"/>
    <col min="4" max="4" width="15.85546875" style="115" customWidth="1"/>
    <col min="5" max="5" width="5.140625" style="1" customWidth="1"/>
    <col min="6" max="6" width="13.42578125" style="115" bestFit="1" customWidth="1"/>
    <col min="7" max="7" width="20.85546875" style="115" customWidth="1"/>
    <col min="8" max="8" width="20.28515625" style="1" customWidth="1"/>
    <col min="9" max="9" width="20.7109375" style="1" customWidth="1"/>
    <col min="10" max="10" width="22.42578125" style="1" customWidth="1"/>
    <col min="11" max="16384" width="11.42578125" style="1"/>
  </cols>
  <sheetData>
    <row r="1" spans="1:11" ht="24" x14ac:dyDescent="0.35">
      <c r="C1" s="3"/>
      <c r="D1" s="124"/>
      <c r="E1" s="22"/>
      <c r="F1" s="124"/>
      <c r="G1" s="124"/>
      <c r="H1" s="22"/>
      <c r="I1" s="22"/>
      <c r="J1" s="22"/>
    </row>
    <row r="2" spans="1:11" ht="18.75" customHeight="1" x14ac:dyDescent="0.35">
      <c r="C2" s="23"/>
      <c r="E2" s="96"/>
      <c r="F2" s="125"/>
      <c r="G2" s="125"/>
      <c r="H2" s="96"/>
      <c r="I2" s="96"/>
      <c r="J2" s="96"/>
    </row>
    <row r="3" spans="1:11" s="63" customFormat="1" ht="15.75" customHeight="1" x14ac:dyDescent="0.35">
      <c r="B3" s="225"/>
      <c r="C3" s="226"/>
      <c r="D3" s="227"/>
      <c r="E3" s="228"/>
      <c r="F3" s="229"/>
      <c r="G3" s="229"/>
      <c r="H3" s="228"/>
      <c r="I3" s="228"/>
    </row>
    <row r="4" spans="1:11" ht="15.75" customHeight="1" x14ac:dyDescent="0.35">
      <c r="B4" s="305" t="s">
        <v>347</v>
      </c>
      <c r="C4" s="305"/>
      <c r="D4" s="305"/>
      <c r="E4" s="305"/>
      <c r="F4" s="305"/>
      <c r="G4" s="305"/>
      <c r="H4" s="305"/>
      <c r="I4" s="305"/>
      <c r="J4" s="303" t="s">
        <v>363</v>
      </c>
    </row>
    <row r="5" spans="1:11" ht="16.5" customHeight="1" x14ac:dyDescent="0.35">
      <c r="B5" s="114"/>
      <c r="C5" s="23"/>
      <c r="D5" s="66"/>
      <c r="E5" s="96"/>
      <c r="F5" s="125"/>
      <c r="G5" s="125"/>
      <c r="H5" s="96"/>
      <c r="I5" s="96"/>
      <c r="J5" s="96"/>
    </row>
    <row r="6" spans="1:11" ht="45" customHeight="1" x14ac:dyDescent="0.35">
      <c r="B6" s="284" t="s">
        <v>53</v>
      </c>
      <c r="C6" s="284"/>
      <c r="D6" s="74" t="s">
        <v>67</v>
      </c>
      <c r="E6" s="75"/>
      <c r="F6" s="74" t="s">
        <v>68</v>
      </c>
      <c r="G6" s="74" t="s">
        <v>350</v>
      </c>
      <c r="H6" s="74" t="s">
        <v>351</v>
      </c>
      <c r="I6" s="74" t="s">
        <v>46</v>
      </c>
      <c r="J6" s="74" t="s">
        <v>19</v>
      </c>
    </row>
    <row r="7" spans="1:11" ht="18" x14ac:dyDescent="0.35">
      <c r="A7" s="20"/>
      <c r="B7" s="122" t="s">
        <v>2</v>
      </c>
      <c r="C7" s="76"/>
      <c r="D7" s="116">
        <f>SUM(D8:D239)</f>
        <v>7713468.1000000006</v>
      </c>
      <c r="E7" s="77"/>
      <c r="F7" s="116">
        <f>SUM(F8:F239)</f>
        <v>271642.10499999998</v>
      </c>
      <c r="G7" s="116">
        <f>SUM(G8:G239)</f>
        <v>130154.10100000008</v>
      </c>
      <c r="H7" s="116">
        <f>SUM(H8:H239)</f>
        <v>141488.00400000002</v>
      </c>
      <c r="I7" s="78">
        <f>(F7/D7)*100</f>
        <v>3.5216597965835881</v>
      </c>
      <c r="J7" s="78">
        <f>SUM(J8:J239)</f>
        <v>99.999999999999957</v>
      </c>
    </row>
    <row r="8" spans="1:11" s="20" customFormat="1" ht="21.75" customHeight="1" x14ac:dyDescent="0.25">
      <c r="B8" s="21">
        <v>1</v>
      </c>
      <c r="C8" s="98" t="s">
        <v>51</v>
      </c>
      <c r="D8" s="57">
        <v>329064.91700000002</v>
      </c>
      <c r="E8" s="41"/>
      <c r="F8" s="251">
        <v>50661.148999999998</v>
      </c>
      <c r="G8" s="251">
        <v>26172.767</v>
      </c>
      <c r="H8" s="254">
        <v>24488.382000000001</v>
      </c>
      <c r="I8" s="43">
        <f>(F8/D8)*100</f>
        <v>15.395487754168578</v>
      </c>
      <c r="J8" s="44">
        <f>(F8/$F$7)*100</f>
        <v>18.649961868024842</v>
      </c>
    </row>
    <row r="9" spans="1:11" s="20" customFormat="1" ht="21.75" customHeight="1" x14ac:dyDescent="0.25">
      <c r="B9" s="21">
        <v>2</v>
      </c>
      <c r="C9" s="98" t="s">
        <v>21</v>
      </c>
      <c r="D9" s="57">
        <v>83517.044999999998</v>
      </c>
      <c r="E9" s="41"/>
      <c r="F9" s="251">
        <v>13132.146000000001</v>
      </c>
      <c r="G9" s="251">
        <v>6250.1559999999999</v>
      </c>
      <c r="H9" s="254">
        <v>6881.99</v>
      </c>
      <c r="I9" s="43">
        <f t="shared" ref="I9:I72" si="0">(F9/D9)*100</f>
        <v>15.72391120878379</v>
      </c>
      <c r="J9" s="44">
        <f t="shared" ref="J9:J72" si="1">(F9/$F$7)*100</f>
        <v>4.8343558521606953</v>
      </c>
    </row>
    <row r="10" spans="1:11" s="20" customFormat="1" ht="21.75" customHeight="1" x14ac:dyDescent="0.25">
      <c r="B10" s="21">
        <v>3</v>
      </c>
      <c r="C10" s="98" t="s">
        <v>22</v>
      </c>
      <c r="D10" s="57">
        <v>34268.527999999998</v>
      </c>
      <c r="E10" s="41"/>
      <c r="F10" s="251">
        <v>13122.338</v>
      </c>
      <c r="G10" s="251">
        <v>4121.1559999999999</v>
      </c>
      <c r="H10" s="254">
        <v>9001.1820000000007</v>
      </c>
      <c r="I10" s="43">
        <f t="shared" si="0"/>
        <v>38.292680677734396</v>
      </c>
      <c r="J10" s="44">
        <f t="shared" si="1"/>
        <v>4.8307452189711162</v>
      </c>
    </row>
    <row r="11" spans="1:11" s="20" customFormat="1" ht="21.75" customHeight="1" x14ac:dyDescent="0.25">
      <c r="B11" s="21">
        <v>4</v>
      </c>
      <c r="C11" s="98" t="s">
        <v>20</v>
      </c>
      <c r="D11" s="57">
        <v>145872.25599999999</v>
      </c>
      <c r="E11" s="42"/>
      <c r="F11" s="251">
        <v>11640.558999999999</v>
      </c>
      <c r="G11" s="251">
        <v>5926.68</v>
      </c>
      <c r="H11" s="254">
        <v>5713.8789999999999</v>
      </c>
      <c r="I11" s="43">
        <f t="shared" si="0"/>
        <v>7.9799677602847243</v>
      </c>
      <c r="J11" s="44">
        <f t="shared" si="1"/>
        <v>4.2852557780024565</v>
      </c>
    </row>
    <row r="12" spans="1:11" s="20" customFormat="1" ht="21.75" customHeight="1" x14ac:dyDescent="0.25">
      <c r="B12" s="21">
        <v>5</v>
      </c>
      <c r="C12" s="98" t="s">
        <v>80</v>
      </c>
      <c r="D12" s="57">
        <v>67530.172000000006</v>
      </c>
      <c r="E12" s="42"/>
      <c r="F12" s="251">
        <v>9552.11</v>
      </c>
      <c r="G12" s="251">
        <v>4970.1139999999996</v>
      </c>
      <c r="H12" s="254">
        <v>4581.9960000000001</v>
      </c>
      <c r="I12" s="43">
        <f t="shared" si="0"/>
        <v>14.144951385582136</v>
      </c>
      <c r="J12" s="44">
        <f t="shared" si="1"/>
        <v>3.5164320347171514</v>
      </c>
    </row>
    <row r="13" spans="1:11" s="20" customFormat="1" ht="21.75" customHeight="1" x14ac:dyDescent="0.25">
      <c r="B13" s="21">
        <v>6</v>
      </c>
      <c r="C13" s="98" t="s">
        <v>35</v>
      </c>
      <c r="D13" s="57">
        <v>9770.5290000000005</v>
      </c>
      <c r="E13" s="42"/>
      <c r="F13" s="251">
        <v>8587.2559999999994</v>
      </c>
      <c r="G13" s="251">
        <v>2261.2359999999999</v>
      </c>
      <c r="H13" s="254">
        <v>6326.02</v>
      </c>
      <c r="I13" s="43">
        <f t="shared" si="0"/>
        <v>87.889366072195259</v>
      </c>
      <c r="J13" s="44">
        <f t="shared" si="1"/>
        <v>3.1612389397438956</v>
      </c>
    </row>
    <row r="14" spans="1:11" s="20" customFormat="1" ht="21.75" customHeight="1" x14ac:dyDescent="0.25">
      <c r="B14" s="21">
        <v>7</v>
      </c>
      <c r="C14" s="98" t="s">
        <v>24</v>
      </c>
      <c r="D14" s="57">
        <v>65129.728000000003</v>
      </c>
      <c r="E14" s="42"/>
      <c r="F14" s="251">
        <v>8334.875</v>
      </c>
      <c r="G14" s="251">
        <v>4315.585</v>
      </c>
      <c r="H14" s="254">
        <v>4019.29</v>
      </c>
      <c r="I14" s="43">
        <f t="shared" si="0"/>
        <v>12.797343480384257</v>
      </c>
      <c r="J14" s="44">
        <f t="shared" si="1"/>
        <v>3.0683295581147116</v>
      </c>
    </row>
    <row r="15" spans="1:11" s="20" customFormat="1" ht="21.75" customHeight="1" x14ac:dyDescent="0.25">
      <c r="B15" s="21">
        <v>8</v>
      </c>
      <c r="C15" s="98" t="s">
        <v>23</v>
      </c>
      <c r="D15" s="57">
        <v>37411.046999999999</v>
      </c>
      <c r="E15" s="41"/>
      <c r="F15" s="251">
        <v>7960.6570000000002</v>
      </c>
      <c r="G15" s="251">
        <v>4174.4669999999996</v>
      </c>
      <c r="H15" s="254">
        <v>3786.19</v>
      </c>
      <c r="I15" s="43">
        <f t="shared" si="0"/>
        <v>21.278893905321603</v>
      </c>
      <c r="J15" s="44">
        <f t="shared" si="1"/>
        <v>2.9305681459065416</v>
      </c>
    </row>
    <row r="16" spans="1:11" s="20" customFormat="1" ht="21.75" customHeight="1" x14ac:dyDescent="0.25">
      <c r="B16" s="21">
        <v>9</v>
      </c>
      <c r="C16" s="98" t="s">
        <v>28</v>
      </c>
      <c r="D16" s="57">
        <v>25203.198</v>
      </c>
      <c r="E16" s="42"/>
      <c r="F16" s="251">
        <v>7549.27</v>
      </c>
      <c r="G16" s="251">
        <v>3804.8319999999999</v>
      </c>
      <c r="H16" s="254">
        <v>3744.4380000000001</v>
      </c>
      <c r="I16" s="43">
        <f t="shared" si="0"/>
        <v>29.953619377985284</v>
      </c>
      <c r="J16" s="44">
        <f t="shared" si="1"/>
        <v>2.7791236561062584</v>
      </c>
      <c r="K16" s="29"/>
    </row>
    <row r="17" spans="1:19" s="20" customFormat="1" ht="21.75" customHeight="1" x14ac:dyDescent="0.25">
      <c r="B17" s="21">
        <v>10</v>
      </c>
      <c r="C17" s="98" t="s">
        <v>29</v>
      </c>
      <c r="D17" s="57">
        <v>60550.074999999997</v>
      </c>
      <c r="E17" s="42"/>
      <c r="F17" s="251">
        <v>6273.7219999999998</v>
      </c>
      <c r="G17" s="251">
        <v>3365.6030000000001</v>
      </c>
      <c r="H17" s="254">
        <v>2908.1190000000001</v>
      </c>
      <c r="I17" s="43">
        <f t="shared" si="0"/>
        <v>10.361212599654088</v>
      </c>
      <c r="J17" s="44">
        <f t="shared" si="1"/>
        <v>2.3095543306881678</v>
      </c>
    </row>
    <row r="18" spans="1:19" s="20" customFormat="1" ht="21.75" customHeight="1" x14ac:dyDescent="0.25">
      <c r="B18" s="21">
        <v>11</v>
      </c>
      <c r="C18" s="98" t="s">
        <v>25</v>
      </c>
      <c r="D18" s="57">
        <v>46736.775999999998</v>
      </c>
      <c r="E18" s="42"/>
      <c r="F18" s="251">
        <v>6104.2030000000004</v>
      </c>
      <c r="G18" s="251">
        <v>3190.4560000000001</v>
      </c>
      <c r="H18" s="254">
        <v>2913.7469999999998</v>
      </c>
      <c r="I18" s="43">
        <f t="shared" si="0"/>
        <v>13.060813180609635</v>
      </c>
      <c r="J18" s="44">
        <f t="shared" si="1"/>
        <v>2.2471490566604175</v>
      </c>
    </row>
    <row r="19" spans="1:19" s="20" customFormat="1" ht="21.75" customHeight="1" x14ac:dyDescent="0.25">
      <c r="B19" s="21">
        <v>12</v>
      </c>
      <c r="C19" s="98" t="s">
        <v>37</v>
      </c>
      <c r="D19" s="57">
        <v>83429.615000000005</v>
      </c>
      <c r="E19" s="42"/>
      <c r="F19" s="251">
        <v>5876.8289999999997</v>
      </c>
      <c r="G19" s="251">
        <v>2618.6170000000002</v>
      </c>
      <c r="H19" s="254">
        <v>3258.212</v>
      </c>
      <c r="I19" s="43">
        <f t="shared" si="0"/>
        <v>7.044056238303388</v>
      </c>
      <c r="J19" s="44">
        <f t="shared" si="1"/>
        <v>2.1634455380177533</v>
      </c>
      <c r="L19" s="283"/>
      <c r="M19" s="283"/>
      <c r="N19" s="283"/>
      <c r="O19" s="283"/>
      <c r="P19" s="283"/>
      <c r="Q19" s="283"/>
      <c r="R19" s="283"/>
      <c r="S19" s="123"/>
    </row>
    <row r="20" spans="1:19" s="20" customFormat="1" ht="21.75" customHeight="1" x14ac:dyDescent="0.25">
      <c r="B20" s="21">
        <v>13</v>
      </c>
      <c r="C20" s="98" t="s">
        <v>26</v>
      </c>
      <c r="D20" s="57">
        <v>1366417.754</v>
      </c>
      <c r="E20" s="42"/>
      <c r="F20" s="251">
        <v>5154.7370000000001</v>
      </c>
      <c r="G20" s="251">
        <v>2514.2240000000002</v>
      </c>
      <c r="H20" s="254">
        <v>2640.5129999999999</v>
      </c>
      <c r="I20" s="43">
        <f t="shared" si="0"/>
        <v>0.37724458606529498</v>
      </c>
      <c r="J20" s="44">
        <f t="shared" si="1"/>
        <v>1.8976207683267661</v>
      </c>
    </row>
    <row r="21" spans="1:19" s="20" customFormat="1" ht="21.75" customHeight="1" x14ac:dyDescent="0.25">
      <c r="B21" s="21">
        <v>14</v>
      </c>
      <c r="C21" s="98" t="s">
        <v>27</v>
      </c>
      <c r="D21" s="57">
        <v>43993.637999999999</v>
      </c>
      <c r="E21" s="42"/>
      <c r="F21" s="251">
        <v>4964.2929999999997</v>
      </c>
      <c r="G21" s="251">
        <v>2829.2289999999998</v>
      </c>
      <c r="H21" s="254">
        <v>2135.0639999999999</v>
      </c>
      <c r="I21" s="43">
        <f t="shared" si="0"/>
        <v>11.284115671452314</v>
      </c>
      <c r="J21" s="44">
        <f t="shared" si="1"/>
        <v>1.82751234386142</v>
      </c>
    </row>
    <row r="22" spans="1:19" s="20" customFormat="1" ht="21.75" customHeight="1" x14ac:dyDescent="0.25">
      <c r="B22" s="21">
        <v>15</v>
      </c>
      <c r="C22" s="98" t="s">
        <v>72</v>
      </c>
      <c r="D22" s="57">
        <v>58558.27</v>
      </c>
      <c r="E22" s="42"/>
      <c r="F22" s="251">
        <v>4224.2560000000003</v>
      </c>
      <c r="G22" s="251">
        <v>1873.894</v>
      </c>
      <c r="H22" s="254">
        <v>2350.3620000000001</v>
      </c>
      <c r="I22" s="43">
        <f t="shared" si="0"/>
        <v>7.2137650241374978</v>
      </c>
      <c r="J22" s="44">
        <f t="shared" si="1"/>
        <v>1.5550814554319554</v>
      </c>
    </row>
    <row r="23" spans="1:19" s="20" customFormat="1" ht="21.75" customHeight="1" x14ac:dyDescent="0.25">
      <c r="B23" s="21">
        <v>16</v>
      </c>
      <c r="C23" s="98" t="s">
        <v>44</v>
      </c>
      <c r="D23" s="57">
        <v>18551.427</v>
      </c>
      <c r="E23" s="42"/>
      <c r="F23" s="251">
        <v>3705.556</v>
      </c>
      <c r="G23" s="251">
        <v>1868.663</v>
      </c>
      <c r="H23" s="254">
        <v>1836.893</v>
      </c>
      <c r="I23" s="43">
        <f t="shared" si="0"/>
        <v>19.974506543351087</v>
      </c>
      <c r="J23" s="44">
        <f t="shared" si="1"/>
        <v>1.3641316761258349</v>
      </c>
    </row>
    <row r="24" spans="1:19" s="20" customFormat="1" ht="21.75" customHeight="1" x14ac:dyDescent="0.25">
      <c r="B24" s="21">
        <v>17</v>
      </c>
      <c r="C24" s="98" t="s">
        <v>40</v>
      </c>
      <c r="D24" s="57">
        <v>69625.581999999995</v>
      </c>
      <c r="E24" s="42"/>
      <c r="F24" s="251">
        <v>3635.085</v>
      </c>
      <c r="G24" s="251">
        <v>1809.58</v>
      </c>
      <c r="H24" s="254">
        <v>1825.5050000000001</v>
      </c>
      <c r="I24" s="43">
        <f t="shared" si="0"/>
        <v>5.2209042934822438</v>
      </c>
      <c r="J24" s="44">
        <f t="shared" si="1"/>
        <v>1.3381890852303624</v>
      </c>
    </row>
    <row r="25" spans="1:19" s="20" customFormat="1" ht="21.75" customHeight="1" x14ac:dyDescent="0.25">
      <c r="B25" s="21">
        <v>18</v>
      </c>
      <c r="C25" s="98" t="s">
        <v>73</v>
      </c>
      <c r="D25" s="57">
        <v>31949.776999999998</v>
      </c>
      <c r="E25" s="42"/>
      <c r="F25" s="251">
        <v>3430.38</v>
      </c>
      <c r="G25" s="251">
        <v>1333.221</v>
      </c>
      <c r="H25" s="254">
        <v>2097.1590000000001</v>
      </c>
      <c r="I25" s="43">
        <f t="shared" si="0"/>
        <v>10.736788554111037</v>
      </c>
      <c r="J25" s="44">
        <f t="shared" si="1"/>
        <v>1.2628307382612871</v>
      </c>
    </row>
    <row r="26" spans="1:19" s="20" customFormat="1" ht="21.75" customHeight="1" x14ac:dyDescent="0.25">
      <c r="B26" s="21">
        <v>19</v>
      </c>
      <c r="C26" s="98" t="s">
        <v>288</v>
      </c>
      <c r="D26" s="57">
        <v>10101.694</v>
      </c>
      <c r="E26" s="42"/>
      <c r="F26" s="251">
        <v>3346.703</v>
      </c>
      <c r="G26" s="251">
        <v>1661.345</v>
      </c>
      <c r="H26" s="254">
        <v>1685.3579999999999</v>
      </c>
      <c r="I26" s="43">
        <f t="shared" si="0"/>
        <v>33.130116592326004</v>
      </c>
      <c r="J26" s="44">
        <f t="shared" si="1"/>
        <v>1.2320266035340877</v>
      </c>
    </row>
    <row r="27" spans="1:19" s="20" customFormat="1" ht="21.75" customHeight="1" x14ac:dyDescent="0.25">
      <c r="B27" s="21">
        <v>20</v>
      </c>
      <c r="C27" s="98" t="s">
        <v>30</v>
      </c>
      <c r="D27" s="57">
        <v>216565.318</v>
      </c>
      <c r="E27" s="42"/>
      <c r="F27" s="251">
        <v>3257.9780000000001</v>
      </c>
      <c r="G27" s="251">
        <v>1543.3150000000001</v>
      </c>
      <c r="H27" s="254">
        <v>1714.663</v>
      </c>
      <c r="I27" s="43">
        <f t="shared" si="0"/>
        <v>1.5043858500002294</v>
      </c>
      <c r="J27" s="44">
        <f t="shared" si="1"/>
        <v>1.1993641412843565</v>
      </c>
    </row>
    <row r="28" spans="1:19" s="29" customFormat="1" ht="21.75" customHeight="1" x14ac:dyDescent="0.25">
      <c r="A28" s="25"/>
      <c r="B28" s="21">
        <v>21</v>
      </c>
      <c r="C28" s="98" t="s">
        <v>93</v>
      </c>
      <c r="D28" s="57">
        <v>4207.0829999999996</v>
      </c>
      <c r="E28" s="42"/>
      <c r="F28" s="251">
        <v>3034.8449999999998</v>
      </c>
      <c r="G28" s="251">
        <v>1021.042</v>
      </c>
      <c r="H28" s="254">
        <v>2013.8030000000001</v>
      </c>
      <c r="I28" s="43">
        <f t="shared" si="0"/>
        <v>72.136561127983455</v>
      </c>
      <c r="J28" s="44">
        <f t="shared" si="1"/>
        <v>1.1172218680900003</v>
      </c>
      <c r="K28" s="39"/>
      <c r="L28" s="40"/>
    </row>
    <row r="29" spans="1:19" s="20" customFormat="1" ht="21.75" customHeight="1" x14ac:dyDescent="0.25">
      <c r="A29" s="18"/>
      <c r="B29" s="21">
        <v>22</v>
      </c>
      <c r="C29" s="98" t="s">
        <v>94</v>
      </c>
      <c r="D29" s="57">
        <v>7436.1540000000005</v>
      </c>
      <c r="E29" s="42"/>
      <c r="F29" s="251">
        <v>2942.2539999999999</v>
      </c>
      <c r="G29" s="251">
        <v>1798.925</v>
      </c>
      <c r="H29" s="254">
        <v>1143.329</v>
      </c>
      <c r="I29" s="43">
        <f t="shared" si="0"/>
        <v>39.566878254538565</v>
      </c>
      <c r="J29" s="44">
        <f t="shared" si="1"/>
        <v>1.0831362096829575</v>
      </c>
      <c r="K29" s="39"/>
      <c r="L29" s="40"/>
    </row>
    <row r="30" spans="1:19" s="20" customFormat="1" ht="21.75" customHeight="1" x14ac:dyDescent="0.25">
      <c r="A30" s="18"/>
      <c r="B30" s="21">
        <v>23</v>
      </c>
      <c r="C30" s="98" t="s">
        <v>289</v>
      </c>
      <c r="D30" s="57">
        <v>82913.906000000003</v>
      </c>
      <c r="E30" s="42"/>
      <c r="F30" s="251">
        <v>2682.2139999999999</v>
      </c>
      <c r="G30" s="251">
        <v>1260.4100000000001</v>
      </c>
      <c r="H30" s="254">
        <v>1421.8040000000001</v>
      </c>
      <c r="I30" s="43">
        <f t="shared" si="0"/>
        <v>3.2349386603496884</v>
      </c>
      <c r="J30" s="44">
        <f t="shared" si="1"/>
        <v>0.98740730933446419</v>
      </c>
      <c r="K30" s="39"/>
      <c r="L30" s="40"/>
    </row>
    <row r="31" spans="1:19" s="20" customFormat="1" ht="21.75" customHeight="1" x14ac:dyDescent="0.35">
      <c r="A31" s="1"/>
      <c r="B31" s="21">
        <v>24</v>
      </c>
      <c r="C31" s="98" t="s">
        <v>95</v>
      </c>
      <c r="D31" s="57">
        <v>8591.3649999999998</v>
      </c>
      <c r="E31" s="42"/>
      <c r="F31" s="251">
        <v>2572.029</v>
      </c>
      <c r="G31" s="251">
        <v>1306.6859999999999</v>
      </c>
      <c r="H31" s="254">
        <v>1265.3430000000001</v>
      </c>
      <c r="I31" s="43">
        <f t="shared" si="0"/>
        <v>29.937373164799773</v>
      </c>
      <c r="J31" s="44">
        <f t="shared" si="1"/>
        <v>0.94684474632531668</v>
      </c>
      <c r="K31" s="39"/>
      <c r="L31" s="40"/>
    </row>
    <row r="32" spans="1:19" s="20" customFormat="1" ht="21.75" customHeight="1" x14ac:dyDescent="0.35">
      <c r="A32" s="1"/>
      <c r="B32" s="21">
        <v>25</v>
      </c>
      <c r="C32" s="98" t="s">
        <v>96</v>
      </c>
      <c r="D32" s="57">
        <v>25716.544000000002</v>
      </c>
      <c r="E32" s="42"/>
      <c r="F32" s="251">
        <v>2549.1410000000001</v>
      </c>
      <c r="G32" s="251">
        <v>1137.566</v>
      </c>
      <c r="H32" s="254">
        <v>1411.575</v>
      </c>
      <c r="I32" s="43">
        <f t="shared" si="0"/>
        <v>9.9124555772346383</v>
      </c>
      <c r="J32" s="44">
        <f t="shared" si="1"/>
        <v>0.93841895386578611</v>
      </c>
      <c r="K32" s="39"/>
      <c r="L32" s="40"/>
    </row>
    <row r="33" spans="1:12" s="20" customFormat="1" ht="21.75" customHeight="1" x14ac:dyDescent="0.35">
      <c r="A33" s="1"/>
      <c r="B33" s="21">
        <v>26</v>
      </c>
      <c r="C33" s="98" t="s">
        <v>97</v>
      </c>
      <c r="D33" s="57">
        <v>126860.30100000001</v>
      </c>
      <c r="E33" s="42"/>
      <c r="F33" s="251">
        <v>2498.8910000000001</v>
      </c>
      <c r="G33" s="251">
        <v>1290.723</v>
      </c>
      <c r="H33" s="254">
        <v>1208.1679999999999</v>
      </c>
      <c r="I33" s="43">
        <f t="shared" si="0"/>
        <v>1.9697974703686065</v>
      </c>
      <c r="J33" s="44">
        <f t="shared" si="1"/>
        <v>0.91992034887227825</v>
      </c>
      <c r="K33" s="39"/>
      <c r="L33" s="40"/>
    </row>
    <row r="34" spans="1:12" s="20" customFormat="1" ht="21.75" customHeight="1" x14ac:dyDescent="0.35">
      <c r="A34" s="1"/>
      <c r="B34" s="21">
        <v>27</v>
      </c>
      <c r="C34" s="98" t="s">
        <v>98</v>
      </c>
      <c r="D34" s="57">
        <v>4974.9859999999999</v>
      </c>
      <c r="E34" s="42"/>
      <c r="F34" s="251">
        <v>2286.2260000000001</v>
      </c>
      <c r="G34" s="251">
        <v>374.7</v>
      </c>
      <c r="H34" s="254">
        <v>1911.5260000000001</v>
      </c>
      <c r="I34" s="43">
        <f t="shared" si="0"/>
        <v>45.954420776259475</v>
      </c>
      <c r="J34" s="44">
        <f t="shared" si="1"/>
        <v>0.84163167561965413</v>
      </c>
      <c r="K34" s="39"/>
      <c r="L34" s="40"/>
    </row>
    <row r="35" spans="1:12" s="20" customFormat="1" ht="21.75" customHeight="1" x14ac:dyDescent="0.35">
      <c r="A35" s="1"/>
      <c r="B35" s="21">
        <v>28</v>
      </c>
      <c r="C35" s="98" t="s">
        <v>99</v>
      </c>
      <c r="D35" s="57">
        <v>17097.13</v>
      </c>
      <c r="E35" s="42"/>
      <c r="F35" s="251">
        <v>2282.7910000000002</v>
      </c>
      <c r="G35" s="251">
        <v>1179.787</v>
      </c>
      <c r="H35" s="254">
        <v>1103.0039999999999</v>
      </c>
      <c r="I35" s="43">
        <f t="shared" si="0"/>
        <v>13.351895902996585</v>
      </c>
      <c r="J35" s="44">
        <f t="shared" si="1"/>
        <v>0.84036714411412783</v>
      </c>
      <c r="K35" s="39"/>
      <c r="L35" s="40"/>
    </row>
    <row r="36" spans="1:12" s="20" customFormat="1" ht="21.75" customHeight="1" x14ac:dyDescent="0.35">
      <c r="A36" s="1"/>
      <c r="B36" s="21">
        <v>29</v>
      </c>
      <c r="C36" s="98" t="s">
        <v>100</v>
      </c>
      <c r="D36" s="57">
        <v>2832.067</v>
      </c>
      <c r="E36" s="42"/>
      <c r="F36" s="251">
        <v>2229.6880000000001</v>
      </c>
      <c r="G36" s="251">
        <v>384.01</v>
      </c>
      <c r="H36" s="254">
        <v>1845.6780000000001</v>
      </c>
      <c r="I36" s="43">
        <f t="shared" si="0"/>
        <v>78.730058293112421</v>
      </c>
      <c r="J36" s="44">
        <f t="shared" si="1"/>
        <v>0.82081826011471981</v>
      </c>
      <c r="K36" s="39"/>
      <c r="L36" s="40"/>
    </row>
    <row r="37" spans="1:12" s="20" customFormat="1" ht="21.75" customHeight="1" x14ac:dyDescent="0.35">
      <c r="A37" s="1"/>
      <c r="B37" s="21">
        <v>30</v>
      </c>
      <c r="C37" s="98" t="s">
        <v>85</v>
      </c>
      <c r="D37" s="57">
        <v>44780.677000000003</v>
      </c>
      <c r="E37" s="42"/>
      <c r="F37" s="251">
        <v>2212.8789999999999</v>
      </c>
      <c r="G37" s="251">
        <v>1194.306</v>
      </c>
      <c r="H37" s="254">
        <v>1018.573</v>
      </c>
      <c r="I37" s="43">
        <f t="shared" si="0"/>
        <v>4.9415934466555731</v>
      </c>
      <c r="J37" s="44">
        <f t="shared" si="1"/>
        <v>0.81463033869510026</v>
      </c>
      <c r="K37" s="39"/>
      <c r="L37" s="40"/>
    </row>
    <row r="38" spans="1:12" s="20" customFormat="1" ht="21.75" customHeight="1" x14ac:dyDescent="0.35">
      <c r="A38" s="1"/>
      <c r="B38" s="21">
        <v>31</v>
      </c>
      <c r="C38" s="98" t="s">
        <v>34</v>
      </c>
      <c r="D38" s="57">
        <v>163046.16099999999</v>
      </c>
      <c r="E38" s="42"/>
      <c r="F38" s="251">
        <v>2185.6129999999998</v>
      </c>
      <c r="G38" s="251">
        <v>1061.32</v>
      </c>
      <c r="H38" s="254">
        <v>1124.2929999999999</v>
      </c>
      <c r="I38" s="43">
        <f t="shared" si="0"/>
        <v>1.3404872501107217</v>
      </c>
      <c r="J38" s="44">
        <f t="shared" si="1"/>
        <v>0.80459286677961805</v>
      </c>
      <c r="K38" s="39"/>
      <c r="L38" s="40"/>
    </row>
    <row r="39" spans="1:12" s="20" customFormat="1" ht="21.75" customHeight="1" x14ac:dyDescent="0.35">
      <c r="A39" s="1"/>
      <c r="B39" s="21">
        <v>32</v>
      </c>
      <c r="C39" s="98" t="s">
        <v>101</v>
      </c>
      <c r="D39" s="57">
        <v>5804.3370000000004</v>
      </c>
      <c r="E39" s="42"/>
      <c r="F39" s="251">
        <v>2155.6529999999998</v>
      </c>
      <c r="G39" s="251">
        <v>1205.461</v>
      </c>
      <c r="H39" s="254">
        <v>950.19200000000001</v>
      </c>
      <c r="I39" s="43">
        <f t="shared" si="0"/>
        <v>37.138660281096698</v>
      </c>
      <c r="J39" s="44">
        <f t="shared" si="1"/>
        <v>0.79356364875761798</v>
      </c>
      <c r="K39" s="39"/>
      <c r="L39" s="40"/>
    </row>
    <row r="40" spans="1:12" s="20" customFormat="1" ht="21.75" customHeight="1" x14ac:dyDescent="0.35">
      <c r="A40" s="1"/>
      <c r="B40" s="21">
        <v>33</v>
      </c>
      <c r="C40" s="98" t="s">
        <v>102</v>
      </c>
      <c r="D40" s="57">
        <v>10036.379000000001</v>
      </c>
      <c r="E40" s="42"/>
      <c r="F40" s="251">
        <v>2005.21</v>
      </c>
      <c r="G40" s="251">
        <v>996.67399999999998</v>
      </c>
      <c r="H40" s="254">
        <v>1008.5359999999999</v>
      </c>
      <c r="I40" s="43">
        <f t="shared" si="0"/>
        <v>19.979416879334664</v>
      </c>
      <c r="J40" s="44">
        <f t="shared" si="1"/>
        <v>0.73818085012999002</v>
      </c>
      <c r="K40" s="39"/>
      <c r="L40" s="40"/>
    </row>
    <row r="41" spans="1:12" s="20" customFormat="1" ht="21.75" customHeight="1" x14ac:dyDescent="0.35">
      <c r="A41" s="1"/>
      <c r="B41" s="21">
        <v>34</v>
      </c>
      <c r="C41" s="98" t="s">
        <v>103</v>
      </c>
      <c r="D41" s="57">
        <v>11539.328</v>
      </c>
      <c r="E41" s="42"/>
      <c r="F41" s="251">
        <v>1981.9190000000001</v>
      </c>
      <c r="G41" s="251">
        <v>1002.728</v>
      </c>
      <c r="H41" s="254">
        <v>979.19100000000003</v>
      </c>
      <c r="I41" s="43">
        <f t="shared" si="0"/>
        <v>17.175341579682978</v>
      </c>
      <c r="J41" s="44">
        <f t="shared" si="1"/>
        <v>0.72960670069906886</v>
      </c>
      <c r="K41" s="39"/>
      <c r="L41" s="40"/>
    </row>
    <row r="42" spans="1:12" s="20" customFormat="1" ht="21.75" customHeight="1" x14ac:dyDescent="0.35">
      <c r="A42" s="1"/>
      <c r="B42" s="21">
        <v>35</v>
      </c>
      <c r="C42" s="98" t="s">
        <v>104</v>
      </c>
      <c r="D42" s="57">
        <v>8519.3770000000004</v>
      </c>
      <c r="E42" s="42"/>
      <c r="F42" s="251">
        <v>1956.346</v>
      </c>
      <c r="G42" s="251">
        <v>1068.578</v>
      </c>
      <c r="H42" s="254">
        <v>887.76800000000003</v>
      </c>
      <c r="I42" s="43">
        <f t="shared" si="0"/>
        <v>22.963486649317197</v>
      </c>
      <c r="J42" s="44">
        <f t="shared" si="1"/>
        <v>0.72019247531600461</v>
      </c>
      <c r="K42" s="39"/>
      <c r="L42" s="40"/>
    </row>
    <row r="43" spans="1:12" s="20" customFormat="1" ht="21.75" customHeight="1" x14ac:dyDescent="0.35">
      <c r="A43" s="1"/>
      <c r="B43" s="21">
        <v>36</v>
      </c>
      <c r="C43" s="98" t="s">
        <v>105</v>
      </c>
      <c r="D43" s="57">
        <v>6855.7129999999997</v>
      </c>
      <c r="E43" s="42"/>
      <c r="F43" s="251">
        <v>1863.873</v>
      </c>
      <c r="G43" s="251">
        <v>967.99800000000005</v>
      </c>
      <c r="H43" s="254">
        <v>895.875</v>
      </c>
      <c r="I43" s="43">
        <f t="shared" si="0"/>
        <v>27.187150337244283</v>
      </c>
      <c r="J43" s="44">
        <f t="shared" si="1"/>
        <v>0.68615025641919547</v>
      </c>
      <c r="K43" s="39"/>
      <c r="L43" s="40"/>
    </row>
    <row r="44" spans="1:12" s="20" customFormat="1" ht="21.75" customHeight="1" x14ac:dyDescent="0.35">
      <c r="A44" s="1"/>
      <c r="B44" s="21">
        <v>37</v>
      </c>
      <c r="C44" s="98" t="s">
        <v>106</v>
      </c>
      <c r="D44" s="57">
        <v>8955.1020000000008</v>
      </c>
      <c r="E44" s="42"/>
      <c r="F44" s="251">
        <v>1779.857</v>
      </c>
      <c r="G44" s="251">
        <v>906.32100000000003</v>
      </c>
      <c r="H44" s="254">
        <v>873.53599999999994</v>
      </c>
      <c r="I44" s="43">
        <f t="shared" si="0"/>
        <v>19.875340336715315</v>
      </c>
      <c r="J44" s="44">
        <f t="shared" si="1"/>
        <v>0.65522132513293552</v>
      </c>
      <c r="K44" s="39"/>
      <c r="L44" s="40"/>
    </row>
    <row r="45" spans="1:12" s="20" customFormat="1" ht="21.75" customHeight="1" x14ac:dyDescent="0.35">
      <c r="A45" s="1"/>
      <c r="B45" s="21">
        <v>38</v>
      </c>
      <c r="C45" s="98" t="s">
        <v>107</v>
      </c>
      <c r="D45" s="57">
        <v>44269.593999999997</v>
      </c>
      <c r="E45" s="42"/>
      <c r="F45" s="251">
        <v>1734.1659999999999</v>
      </c>
      <c r="G45" s="251">
        <v>897.54600000000005</v>
      </c>
      <c r="H45" s="254">
        <v>836.62</v>
      </c>
      <c r="I45" s="43">
        <f t="shared" si="0"/>
        <v>3.9172846265542889</v>
      </c>
      <c r="J45" s="44">
        <f t="shared" si="1"/>
        <v>0.63840103138650028</v>
      </c>
      <c r="K45" s="39"/>
      <c r="L45" s="40"/>
    </row>
    <row r="46" spans="1:12" s="20" customFormat="1" ht="21.75" customHeight="1" x14ac:dyDescent="0.35">
      <c r="A46" s="1"/>
      <c r="B46" s="21">
        <v>39</v>
      </c>
      <c r="C46" s="98" t="s">
        <v>278</v>
      </c>
      <c r="D46" s="57">
        <v>28515.829000000002</v>
      </c>
      <c r="E46" s="42"/>
      <c r="F46" s="251">
        <v>1375.69</v>
      </c>
      <c r="G46" s="251">
        <v>689.71500000000003</v>
      </c>
      <c r="H46" s="254">
        <v>685.97500000000002</v>
      </c>
      <c r="I46" s="43">
        <f t="shared" si="0"/>
        <v>4.8243030213149334</v>
      </c>
      <c r="J46" s="44">
        <f t="shared" si="1"/>
        <v>0.50643474434863478</v>
      </c>
      <c r="K46" s="39"/>
      <c r="L46" s="40"/>
    </row>
    <row r="47" spans="1:12" s="20" customFormat="1" ht="21.75" customHeight="1" x14ac:dyDescent="0.35">
      <c r="A47" s="1"/>
      <c r="B47" s="21">
        <v>40</v>
      </c>
      <c r="C47" s="98" t="s">
        <v>108</v>
      </c>
      <c r="D47" s="57">
        <v>200963.59899999999</v>
      </c>
      <c r="E47" s="42"/>
      <c r="F47" s="251">
        <v>1256.4079999999999</v>
      </c>
      <c r="G47" s="251">
        <v>567.08699999999999</v>
      </c>
      <c r="H47" s="254">
        <v>689.32100000000003</v>
      </c>
      <c r="I47" s="43">
        <f t="shared" si="0"/>
        <v>0.6251918288943461</v>
      </c>
      <c r="J47" s="44">
        <f t="shared" si="1"/>
        <v>0.46252328960563749</v>
      </c>
      <c r="K47" s="39"/>
      <c r="L47" s="40"/>
    </row>
    <row r="48" spans="1:12" s="20" customFormat="1" ht="21.75" customHeight="1" x14ac:dyDescent="0.35">
      <c r="A48" s="1"/>
      <c r="B48" s="21">
        <v>41</v>
      </c>
      <c r="C48" s="98" t="s">
        <v>109</v>
      </c>
      <c r="D48" s="57">
        <v>112078.73</v>
      </c>
      <c r="E48" s="42"/>
      <c r="F48" s="251">
        <v>1253.0830000000001</v>
      </c>
      <c r="G48" s="251">
        <v>615.12</v>
      </c>
      <c r="H48" s="254">
        <v>637.96299999999997</v>
      </c>
      <c r="I48" s="43">
        <f t="shared" si="0"/>
        <v>1.1180381861928665</v>
      </c>
      <c r="J48" s="44">
        <f t="shared" si="1"/>
        <v>0.46129925255880344</v>
      </c>
      <c r="K48" s="39"/>
      <c r="L48" s="40"/>
    </row>
    <row r="49" spans="1:12" s="20" customFormat="1" ht="21.75" customHeight="1" x14ac:dyDescent="0.35">
      <c r="A49" s="1"/>
      <c r="B49" s="21">
        <v>42</v>
      </c>
      <c r="C49" s="98" t="s">
        <v>110</v>
      </c>
      <c r="D49" s="57">
        <v>42813.237999999998</v>
      </c>
      <c r="E49" s="42"/>
      <c r="F49" s="251">
        <v>1223.0920000000001</v>
      </c>
      <c r="G49" s="251">
        <v>615.94100000000003</v>
      </c>
      <c r="H49" s="254">
        <v>607.15099999999995</v>
      </c>
      <c r="I49" s="43">
        <f t="shared" si="0"/>
        <v>2.8568079807465163</v>
      </c>
      <c r="J49" s="44">
        <f t="shared" si="1"/>
        <v>0.4502586224620812</v>
      </c>
      <c r="K49" s="39"/>
      <c r="L49" s="40"/>
    </row>
    <row r="50" spans="1:12" s="20" customFormat="1" ht="21.75" customHeight="1" x14ac:dyDescent="0.35">
      <c r="A50" s="1"/>
      <c r="B50" s="21">
        <v>43</v>
      </c>
      <c r="C50" s="98" t="s">
        <v>111</v>
      </c>
      <c r="D50" s="57">
        <v>10473.455</v>
      </c>
      <c r="E50" s="42"/>
      <c r="F50" s="251">
        <v>1211.3820000000001</v>
      </c>
      <c r="G50" s="251">
        <v>651.17399999999998</v>
      </c>
      <c r="H50" s="254">
        <v>560.20799999999997</v>
      </c>
      <c r="I50" s="43">
        <f t="shared" si="0"/>
        <v>11.566211913833593</v>
      </c>
      <c r="J50" s="44">
        <f t="shared" si="1"/>
        <v>0.4459478032685692</v>
      </c>
      <c r="K50" s="39"/>
      <c r="L50" s="40"/>
    </row>
    <row r="51" spans="1:12" s="20" customFormat="1" ht="21.75" customHeight="1" x14ac:dyDescent="0.35">
      <c r="A51" s="1"/>
      <c r="B51" s="21">
        <v>44</v>
      </c>
      <c r="C51" s="98" t="s">
        <v>112</v>
      </c>
      <c r="D51" s="57">
        <v>32981.716</v>
      </c>
      <c r="E51" s="42"/>
      <c r="F51" s="251">
        <v>1168.384</v>
      </c>
      <c r="G51" s="251">
        <v>623.33600000000001</v>
      </c>
      <c r="H51" s="254">
        <v>545.048</v>
      </c>
      <c r="I51" s="43">
        <f t="shared" si="0"/>
        <v>3.5425203467278656</v>
      </c>
      <c r="J51" s="44">
        <f t="shared" si="1"/>
        <v>0.43011888749720889</v>
      </c>
      <c r="K51" s="39"/>
      <c r="L51" s="40"/>
    </row>
    <row r="52" spans="1:12" s="20" customFormat="1" ht="21.75" customHeight="1" x14ac:dyDescent="0.35">
      <c r="A52" s="1"/>
      <c r="B52" s="21">
        <v>45</v>
      </c>
      <c r="C52" s="98" t="s">
        <v>279</v>
      </c>
      <c r="D52" s="57">
        <v>51225.307999999997</v>
      </c>
      <c r="E52" s="42"/>
      <c r="F52" s="251">
        <v>1163.655</v>
      </c>
      <c r="G52" s="251">
        <v>510.90899999999999</v>
      </c>
      <c r="H52" s="254">
        <v>652.74599999999998</v>
      </c>
      <c r="I52" s="43">
        <f t="shared" si="0"/>
        <v>2.2716408069230156</v>
      </c>
      <c r="J52" s="44">
        <f t="shared" si="1"/>
        <v>0.42837799390488451</v>
      </c>
      <c r="K52" s="39"/>
      <c r="L52" s="40"/>
    </row>
    <row r="53" spans="1:12" s="20" customFormat="1" ht="21.75" customHeight="1" x14ac:dyDescent="0.35">
      <c r="A53" s="1"/>
      <c r="B53" s="21">
        <v>46</v>
      </c>
      <c r="C53" s="98" t="s">
        <v>113</v>
      </c>
      <c r="D53" s="57">
        <v>50339.442999999999</v>
      </c>
      <c r="E53" s="42"/>
      <c r="F53" s="251">
        <v>1142.319</v>
      </c>
      <c r="G53" s="251">
        <v>566.51400000000001</v>
      </c>
      <c r="H53" s="254">
        <v>575.80499999999995</v>
      </c>
      <c r="I53" s="43">
        <f t="shared" si="0"/>
        <v>2.2692324982618501</v>
      </c>
      <c r="J53" s="44">
        <f t="shared" si="1"/>
        <v>0.4205235414443575</v>
      </c>
      <c r="K53" s="39"/>
      <c r="L53" s="40"/>
    </row>
    <row r="54" spans="1:12" s="20" customFormat="1" ht="21.75" customHeight="1" x14ac:dyDescent="0.35">
      <c r="A54" s="1"/>
      <c r="B54" s="21">
        <v>47</v>
      </c>
      <c r="C54" s="98" t="s">
        <v>114</v>
      </c>
      <c r="D54" s="57">
        <v>9452.4110000000001</v>
      </c>
      <c r="E54" s="42"/>
      <c r="F54" s="251">
        <v>1069.395</v>
      </c>
      <c r="G54" s="251">
        <v>579.625</v>
      </c>
      <c r="H54" s="254">
        <v>489.77</v>
      </c>
      <c r="I54" s="43">
        <f t="shared" si="0"/>
        <v>11.313462776851324</v>
      </c>
      <c r="J54" s="44">
        <f t="shared" si="1"/>
        <v>0.3936779241200476</v>
      </c>
      <c r="K54" s="39"/>
      <c r="L54" s="40"/>
    </row>
    <row r="55" spans="1:12" s="20" customFormat="1" ht="21.75" customHeight="1" x14ac:dyDescent="0.35">
      <c r="A55" s="1"/>
      <c r="B55" s="21">
        <v>48</v>
      </c>
      <c r="C55" s="98" t="s">
        <v>115</v>
      </c>
      <c r="D55" s="57">
        <v>4783.0630000000001</v>
      </c>
      <c r="E55" s="42"/>
      <c r="F55" s="251">
        <v>1068.739</v>
      </c>
      <c r="G55" s="251">
        <v>551.92499999999995</v>
      </c>
      <c r="H55" s="254">
        <v>516.81399999999996</v>
      </c>
      <c r="I55" s="43">
        <f t="shared" si="0"/>
        <v>22.344238409571439</v>
      </c>
      <c r="J55" s="44">
        <f t="shared" si="1"/>
        <v>0.39343642989366473</v>
      </c>
      <c r="K55" s="39"/>
      <c r="L55" s="40"/>
    </row>
    <row r="56" spans="1:12" s="20" customFormat="1" ht="21.75" customHeight="1" x14ac:dyDescent="0.35">
      <c r="A56" s="1"/>
      <c r="B56" s="131">
        <v>49</v>
      </c>
      <c r="C56" s="132" t="s">
        <v>33</v>
      </c>
      <c r="D56" s="136">
        <v>127575.52899999999</v>
      </c>
      <c r="E56" s="133"/>
      <c r="F56" s="252">
        <v>1060.7070000000001</v>
      </c>
      <c r="G56" s="252">
        <v>528.79499999999996</v>
      </c>
      <c r="H56" s="252">
        <v>531.91200000000003</v>
      </c>
      <c r="I56" s="135">
        <f>(F56/D56)*100</f>
        <v>0.8314345300500382</v>
      </c>
      <c r="J56" s="134">
        <f>(F56/$F$7)*100</f>
        <v>0.39047959814624472</v>
      </c>
      <c r="K56" s="39"/>
      <c r="L56" s="40"/>
    </row>
    <row r="57" spans="1:12" s="20" customFormat="1" ht="21.75" customHeight="1" x14ac:dyDescent="0.35">
      <c r="A57" s="1"/>
      <c r="B57" s="21">
        <v>50</v>
      </c>
      <c r="C57" s="98" t="s">
        <v>116</v>
      </c>
      <c r="D57" s="57">
        <v>52573.972999999998</v>
      </c>
      <c r="E57" s="42"/>
      <c r="F57" s="251">
        <v>1044.854</v>
      </c>
      <c r="G57" s="251">
        <v>522.53300000000002</v>
      </c>
      <c r="H57" s="254">
        <v>522.32100000000003</v>
      </c>
      <c r="I57" s="43">
        <f t="shared" si="0"/>
        <v>1.9873978327641324</v>
      </c>
      <c r="J57" s="44">
        <f t="shared" si="1"/>
        <v>0.3846436103858053</v>
      </c>
      <c r="K57" s="39"/>
      <c r="L57" s="40"/>
    </row>
    <row r="58" spans="1:12" s="20" customFormat="1" ht="21.75" customHeight="1" x14ac:dyDescent="0.35">
      <c r="A58" s="1"/>
      <c r="B58" s="21">
        <v>51</v>
      </c>
      <c r="C58" s="98" t="s">
        <v>43</v>
      </c>
      <c r="D58" s="57">
        <v>1457557.5619999999</v>
      </c>
      <c r="E58" s="42"/>
      <c r="F58" s="251">
        <v>1030.8710000000001</v>
      </c>
      <c r="G58" s="251">
        <v>398.32100000000003</v>
      </c>
      <c r="H58" s="254">
        <v>632.54999999999995</v>
      </c>
      <c r="I58" s="43">
        <f t="shared" si="0"/>
        <v>7.0725920325608399E-2</v>
      </c>
      <c r="J58" s="44">
        <f t="shared" si="1"/>
        <v>0.37949602842313424</v>
      </c>
      <c r="K58" s="39"/>
      <c r="L58" s="40"/>
    </row>
    <row r="59" spans="1:12" s="20" customFormat="1" ht="21.75" customHeight="1" x14ac:dyDescent="0.35">
      <c r="A59" s="1"/>
      <c r="B59" s="21">
        <v>52</v>
      </c>
      <c r="C59" s="98" t="s">
        <v>117</v>
      </c>
      <c r="D59" s="57">
        <v>86790.566999999995</v>
      </c>
      <c r="E59" s="42"/>
      <c r="F59" s="251">
        <v>963.83299999999997</v>
      </c>
      <c r="G59" s="251">
        <v>499.87900000000002</v>
      </c>
      <c r="H59" s="254">
        <v>463.95400000000001</v>
      </c>
      <c r="I59" s="43">
        <f t="shared" si="0"/>
        <v>1.1105273687173862</v>
      </c>
      <c r="J59" s="44">
        <f t="shared" si="1"/>
        <v>0.35481723277030269</v>
      </c>
      <c r="K59" s="39"/>
      <c r="L59" s="40"/>
    </row>
    <row r="60" spans="1:12" s="20" customFormat="1" ht="21.75" customHeight="1" x14ac:dyDescent="0.35">
      <c r="A60" s="1"/>
      <c r="B60" s="21">
        <v>53</v>
      </c>
      <c r="C60" s="98" t="s">
        <v>84</v>
      </c>
      <c r="D60" s="57">
        <v>18952.038</v>
      </c>
      <c r="E60" s="42"/>
      <c r="F60" s="251">
        <v>939.99199999999996</v>
      </c>
      <c r="G60" s="251">
        <v>497.06299999999999</v>
      </c>
      <c r="H60" s="254">
        <v>442.92899999999997</v>
      </c>
      <c r="I60" s="43">
        <f t="shared" si="0"/>
        <v>4.959846534710409</v>
      </c>
      <c r="J60" s="44">
        <f t="shared" si="1"/>
        <v>0.34604061104592015</v>
      </c>
      <c r="K60" s="39"/>
      <c r="L60" s="40"/>
    </row>
    <row r="61" spans="1:12" s="20" customFormat="1" ht="21.75" customHeight="1" x14ac:dyDescent="0.35">
      <c r="A61" s="1"/>
      <c r="B61" s="21">
        <v>54</v>
      </c>
      <c r="C61" s="98" t="s">
        <v>118</v>
      </c>
      <c r="D61" s="57">
        <v>10226.187</v>
      </c>
      <c r="E61" s="42"/>
      <c r="F61" s="251">
        <v>888.16200000000003</v>
      </c>
      <c r="G61" s="251">
        <v>476.41199999999998</v>
      </c>
      <c r="H61" s="254">
        <v>411.75</v>
      </c>
      <c r="I61" s="43">
        <f t="shared" si="0"/>
        <v>8.6851726845988644</v>
      </c>
      <c r="J61" s="44">
        <f t="shared" si="1"/>
        <v>0.3269603583730144</v>
      </c>
      <c r="K61" s="39"/>
      <c r="L61" s="40"/>
    </row>
    <row r="62" spans="1:12" s="20" customFormat="1" ht="21.75" customHeight="1" x14ac:dyDescent="0.35">
      <c r="A62" s="1"/>
      <c r="B62" s="21">
        <v>55</v>
      </c>
      <c r="C62" s="98" t="s">
        <v>280</v>
      </c>
      <c r="D62" s="57">
        <v>17070.134999999998</v>
      </c>
      <c r="E62" s="42"/>
      <c r="F62" s="251">
        <v>867.84799999999996</v>
      </c>
      <c r="G62" s="251">
        <v>423.13799999999998</v>
      </c>
      <c r="H62" s="254">
        <v>444.71</v>
      </c>
      <c r="I62" s="43">
        <f t="shared" si="0"/>
        <v>5.084013688233866</v>
      </c>
      <c r="J62" s="44">
        <f t="shared" si="1"/>
        <v>0.3194821362468826</v>
      </c>
      <c r="K62" s="39"/>
      <c r="L62" s="40"/>
    </row>
    <row r="63" spans="1:12" s="20" customFormat="1" ht="21.75" customHeight="1" x14ac:dyDescent="0.35">
      <c r="A63" s="1"/>
      <c r="B63" s="21">
        <v>56</v>
      </c>
      <c r="C63" s="98" t="s">
        <v>119</v>
      </c>
      <c r="D63" s="57">
        <v>5378.857</v>
      </c>
      <c r="E63" s="42"/>
      <c r="F63" s="251">
        <v>867.76499999999999</v>
      </c>
      <c r="G63" s="251">
        <v>416.166</v>
      </c>
      <c r="H63" s="254">
        <v>451.59899999999999</v>
      </c>
      <c r="I63" s="43">
        <f t="shared" si="0"/>
        <v>16.132888455670042</v>
      </c>
      <c r="J63" s="44">
        <f t="shared" si="1"/>
        <v>0.31945158133714213</v>
      </c>
      <c r="K63" s="39"/>
      <c r="L63" s="40"/>
    </row>
    <row r="64" spans="1:12" s="20" customFormat="1" ht="21.75" customHeight="1" x14ac:dyDescent="0.35">
      <c r="A64" s="1"/>
      <c r="B64" s="21">
        <v>57</v>
      </c>
      <c r="C64" s="98" t="s">
        <v>120</v>
      </c>
      <c r="D64" s="57">
        <v>11062.112999999999</v>
      </c>
      <c r="E64" s="42"/>
      <c r="F64" s="251">
        <v>865.55200000000002</v>
      </c>
      <c r="G64" s="251">
        <v>423.875</v>
      </c>
      <c r="H64" s="254">
        <v>441.67700000000002</v>
      </c>
      <c r="I64" s="43">
        <f t="shared" si="0"/>
        <v>7.8244725939791078</v>
      </c>
      <c r="J64" s="44">
        <f t="shared" si="1"/>
        <v>0.31863690645454251</v>
      </c>
      <c r="K64" s="39"/>
      <c r="L64" s="40"/>
    </row>
    <row r="65" spans="1:12" s="20" customFormat="1" ht="21.75" customHeight="1" x14ac:dyDescent="0.35">
      <c r="A65" s="1"/>
      <c r="B65" s="21">
        <v>58</v>
      </c>
      <c r="C65" s="98" t="s">
        <v>121</v>
      </c>
      <c r="D65" s="57">
        <v>4882.4949999999999</v>
      </c>
      <c r="E65" s="42"/>
      <c r="F65" s="251">
        <v>833.56399999999996</v>
      </c>
      <c r="G65" s="251">
        <v>419.11200000000002</v>
      </c>
      <c r="H65" s="254">
        <v>414.452</v>
      </c>
      <c r="I65" s="43">
        <f t="shared" si="0"/>
        <v>17.072500842294769</v>
      </c>
      <c r="J65" s="44">
        <f t="shared" si="1"/>
        <v>0.3068611178668344</v>
      </c>
      <c r="K65" s="39"/>
      <c r="L65" s="40"/>
    </row>
    <row r="66" spans="1:12" s="20" customFormat="1" ht="21.75" customHeight="1" x14ac:dyDescent="0.35">
      <c r="A66" s="1"/>
      <c r="B66" s="21">
        <v>59</v>
      </c>
      <c r="C66" s="98" t="s">
        <v>83</v>
      </c>
      <c r="D66" s="57">
        <v>8772.2350000000006</v>
      </c>
      <c r="E66" s="42"/>
      <c r="F66" s="251">
        <v>820.31200000000001</v>
      </c>
      <c r="G66" s="251">
        <v>459.096</v>
      </c>
      <c r="H66" s="254">
        <v>361.21600000000001</v>
      </c>
      <c r="I66" s="43">
        <f t="shared" si="0"/>
        <v>9.3512314706571349</v>
      </c>
      <c r="J66" s="44">
        <f t="shared" si="1"/>
        <v>0.30198263998874547</v>
      </c>
      <c r="K66" s="39"/>
      <c r="L66" s="40"/>
    </row>
    <row r="67" spans="1:12" s="20" customFormat="1" ht="21.75" customHeight="1" x14ac:dyDescent="0.35">
      <c r="A67" s="1"/>
      <c r="B67" s="21">
        <v>60</v>
      </c>
      <c r="C67" s="98" t="s">
        <v>122</v>
      </c>
      <c r="D67" s="57">
        <v>6777.4520000000002</v>
      </c>
      <c r="E67" s="42"/>
      <c r="F67" s="251">
        <v>818.21600000000001</v>
      </c>
      <c r="G67" s="251">
        <v>235.54300000000001</v>
      </c>
      <c r="H67" s="254">
        <v>582.673</v>
      </c>
      <c r="I67" s="43">
        <f t="shared" si="0"/>
        <v>12.072619621651322</v>
      </c>
      <c r="J67" s="44">
        <f t="shared" si="1"/>
        <v>0.30121103648493669</v>
      </c>
      <c r="K67" s="39"/>
      <c r="L67" s="40"/>
    </row>
    <row r="68" spans="1:12" s="20" customFormat="1" ht="21.75" customHeight="1" x14ac:dyDescent="0.35">
      <c r="A68" s="1"/>
      <c r="B68" s="21">
        <v>61</v>
      </c>
      <c r="C68" s="98" t="s">
        <v>123</v>
      </c>
      <c r="D68" s="57">
        <v>211049.527</v>
      </c>
      <c r="E68" s="42"/>
      <c r="F68" s="251">
        <v>807.00599999999997</v>
      </c>
      <c r="G68" s="251">
        <v>371.34500000000003</v>
      </c>
      <c r="H68" s="254">
        <v>435.661</v>
      </c>
      <c r="I68" s="43">
        <f t="shared" si="0"/>
        <v>0.38237754496365206</v>
      </c>
      <c r="J68" s="44">
        <f t="shared" si="1"/>
        <v>0.29708428301275314</v>
      </c>
      <c r="K68" s="39"/>
      <c r="L68" s="40"/>
    </row>
    <row r="69" spans="1:12" s="20" customFormat="1" ht="21.75" customHeight="1" x14ac:dyDescent="0.35">
      <c r="A69" s="1"/>
      <c r="B69" s="21">
        <v>62</v>
      </c>
      <c r="C69" s="98" t="s">
        <v>124</v>
      </c>
      <c r="D69" s="57">
        <v>32510.453000000001</v>
      </c>
      <c r="E69" s="42"/>
      <c r="F69" s="251">
        <v>782.16899999999998</v>
      </c>
      <c r="G69" s="251">
        <v>357.85199999999998</v>
      </c>
      <c r="H69" s="254">
        <v>424.31700000000001</v>
      </c>
      <c r="I69" s="43">
        <f t="shared" si="0"/>
        <v>2.405900034675001</v>
      </c>
      <c r="J69" s="44">
        <f t="shared" si="1"/>
        <v>0.28794100237148434</v>
      </c>
      <c r="K69" s="39"/>
      <c r="L69" s="40"/>
    </row>
    <row r="70" spans="1:12" s="20" customFormat="1" ht="21.75" customHeight="1" x14ac:dyDescent="0.35">
      <c r="A70" s="1"/>
      <c r="B70" s="21">
        <v>63</v>
      </c>
      <c r="C70" s="98" t="s">
        <v>125</v>
      </c>
      <c r="D70" s="57">
        <v>1641.172</v>
      </c>
      <c r="E70" s="42"/>
      <c r="F70" s="251">
        <v>741.16099999999994</v>
      </c>
      <c r="G70" s="251">
        <v>205.43299999999999</v>
      </c>
      <c r="H70" s="254">
        <v>535.72799999999995</v>
      </c>
      <c r="I70" s="43">
        <f t="shared" si="0"/>
        <v>45.16047068802051</v>
      </c>
      <c r="J70" s="44">
        <f t="shared" si="1"/>
        <v>0.27284466817101127</v>
      </c>
      <c r="K70" s="39"/>
      <c r="L70" s="40"/>
    </row>
    <row r="71" spans="1:12" s="20" customFormat="1" ht="21.75" customHeight="1" x14ac:dyDescent="0.35">
      <c r="A71" s="1"/>
      <c r="B71" s="21">
        <v>64</v>
      </c>
      <c r="C71" s="98" t="s">
        <v>126</v>
      </c>
      <c r="D71" s="57">
        <v>5771.8760000000002</v>
      </c>
      <c r="E71" s="42"/>
      <c r="F71" s="251">
        <v>722.87800000000004</v>
      </c>
      <c r="G71" s="251">
        <v>365.512</v>
      </c>
      <c r="H71" s="254">
        <v>357.36599999999999</v>
      </c>
      <c r="I71" s="43">
        <f t="shared" si="0"/>
        <v>12.524142930305501</v>
      </c>
      <c r="J71" s="44">
        <f t="shared" si="1"/>
        <v>0.26611412100491566</v>
      </c>
      <c r="K71" s="39"/>
      <c r="L71" s="40"/>
    </row>
    <row r="72" spans="1:12" s="20" customFormat="1" ht="21.75" customHeight="1" x14ac:dyDescent="0.35">
      <c r="A72" s="1"/>
      <c r="B72" s="21">
        <v>65</v>
      </c>
      <c r="C72" s="98" t="s">
        <v>127</v>
      </c>
      <c r="D72" s="57">
        <v>20321.378000000001</v>
      </c>
      <c r="E72" s="42"/>
      <c r="F72" s="251">
        <v>718.33799999999997</v>
      </c>
      <c r="G72" s="251">
        <v>376.50799999999998</v>
      </c>
      <c r="H72" s="254">
        <v>341.83</v>
      </c>
      <c r="I72" s="43">
        <f t="shared" si="0"/>
        <v>3.534888234449455</v>
      </c>
      <c r="J72" s="44">
        <f t="shared" si="1"/>
        <v>0.26444280425525341</v>
      </c>
      <c r="K72" s="39"/>
      <c r="L72" s="40"/>
    </row>
    <row r="73" spans="1:12" s="20" customFormat="1" ht="21.75" customHeight="1" x14ac:dyDescent="0.35">
      <c r="A73" s="1"/>
      <c r="B73" s="21">
        <v>66</v>
      </c>
      <c r="C73" s="98" t="s">
        <v>128</v>
      </c>
      <c r="D73" s="57">
        <v>31825.294999999998</v>
      </c>
      <c r="E73" s="42"/>
      <c r="F73" s="251">
        <v>669.47900000000004</v>
      </c>
      <c r="G73" s="251">
        <v>327.76</v>
      </c>
      <c r="H73" s="254">
        <v>341.71899999999999</v>
      </c>
      <c r="I73" s="43">
        <f t="shared" ref="I73:I136" si="2">(F73/D73)*100</f>
        <v>2.1036065808659434</v>
      </c>
      <c r="J73" s="44">
        <f t="shared" ref="J73:J136" si="3">(F73/$F$7)*100</f>
        <v>0.24645627009848128</v>
      </c>
      <c r="K73" s="39"/>
      <c r="L73" s="40"/>
    </row>
    <row r="74" spans="1:12" s="20" customFormat="1" ht="21.75" customHeight="1" x14ac:dyDescent="0.35">
      <c r="A74" s="1"/>
      <c r="B74" s="21">
        <v>67</v>
      </c>
      <c r="C74" s="98" t="s">
        <v>38</v>
      </c>
      <c r="D74" s="57">
        <v>37887.767999999996</v>
      </c>
      <c r="E74" s="42"/>
      <c r="F74" s="251">
        <v>655.98500000000001</v>
      </c>
      <c r="G74" s="251">
        <v>366.23099999999999</v>
      </c>
      <c r="H74" s="254">
        <v>289.75400000000002</v>
      </c>
      <c r="I74" s="43">
        <f t="shared" si="2"/>
        <v>1.7313899303859761</v>
      </c>
      <c r="J74" s="44">
        <f t="shared" si="3"/>
        <v>0.24148870441126941</v>
      </c>
      <c r="K74" s="39"/>
      <c r="L74" s="40"/>
    </row>
    <row r="75" spans="1:12" s="20" customFormat="1" ht="21.75" customHeight="1" x14ac:dyDescent="0.35">
      <c r="A75" s="1"/>
      <c r="B75" s="21">
        <v>68</v>
      </c>
      <c r="C75" s="98" t="s">
        <v>129</v>
      </c>
      <c r="D75" s="57">
        <v>10738.958000000001</v>
      </c>
      <c r="E75" s="42"/>
      <c r="F75" s="251">
        <v>567.64800000000002</v>
      </c>
      <c r="G75" s="251">
        <v>202.387</v>
      </c>
      <c r="H75" s="254">
        <v>365.26100000000002</v>
      </c>
      <c r="I75" s="43">
        <f t="shared" si="2"/>
        <v>5.2858759667371826</v>
      </c>
      <c r="J75" s="44">
        <f t="shared" si="3"/>
        <v>0.20896907716128915</v>
      </c>
      <c r="K75" s="39"/>
      <c r="L75" s="40"/>
    </row>
    <row r="76" spans="1:12" s="20" customFormat="1" ht="21.75" customHeight="1" x14ac:dyDescent="0.35">
      <c r="A76" s="1"/>
      <c r="B76" s="21">
        <v>69</v>
      </c>
      <c r="C76" s="98" t="s">
        <v>130</v>
      </c>
      <c r="D76" s="57">
        <v>12626.95</v>
      </c>
      <c r="E76" s="42"/>
      <c r="F76" s="251">
        <v>539.93200000000002</v>
      </c>
      <c r="G76" s="251">
        <v>270.01499999999999</v>
      </c>
      <c r="H76" s="254">
        <v>269.91699999999997</v>
      </c>
      <c r="I76" s="43">
        <f t="shared" si="2"/>
        <v>4.2760286530001306</v>
      </c>
      <c r="J76" s="44">
        <f t="shared" si="3"/>
        <v>0.19876594609661122</v>
      </c>
      <c r="K76" s="39"/>
      <c r="L76" s="40"/>
    </row>
    <row r="77" spans="1:12" s="20" customFormat="1" ht="21.75" customHeight="1" x14ac:dyDescent="0.35">
      <c r="A77" s="1"/>
      <c r="B77" s="21">
        <v>70</v>
      </c>
      <c r="C77" s="98" t="s">
        <v>82</v>
      </c>
      <c r="D77" s="57">
        <v>4130.3040000000001</v>
      </c>
      <c r="E77" s="42"/>
      <c r="F77" s="251">
        <v>518.08299999999997</v>
      </c>
      <c r="G77" s="251">
        <v>278.40199999999999</v>
      </c>
      <c r="H77" s="254">
        <v>239.68100000000001</v>
      </c>
      <c r="I77" s="43">
        <f t="shared" si="2"/>
        <v>12.543459270794594</v>
      </c>
      <c r="J77" s="44">
        <f t="shared" si="3"/>
        <v>0.19072264220600116</v>
      </c>
      <c r="K77" s="39"/>
      <c r="L77" s="40"/>
    </row>
    <row r="78" spans="1:12" s="20" customFormat="1" ht="21.75" customHeight="1" x14ac:dyDescent="0.35">
      <c r="A78" s="1"/>
      <c r="B78" s="21">
        <v>71</v>
      </c>
      <c r="C78" s="98" t="s">
        <v>131</v>
      </c>
      <c r="D78" s="57">
        <v>10689.209000000001</v>
      </c>
      <c r="E78" s="42"/>
      <c r="F78" s="251">
        <v>512.70500000000004</v>
      </c>
      <c r="G78" s="251">
        <v>219.46</v>
      </c>
      <c r="H78" s="254">
        <v>293.245</v>
      </c>
      <c r="I78" s="43">
        <f t="shared" si="2"/>
        <v>4.7964727792299691</v>
      </c>
      <c r="J78" s="44">
        <f t="shared" si="3"/>
        <v>0.18874283130739253</v>
      </c>
      <c r="K78" s="39"/>
      <c r="L78" s="40"/>
    </row>
    <row r="79" spans="1:12" s="20" customFormat="1" ht="21.75" customHeight="1" x14ac:dyDescent="0.35">
      <c r="A79" s="1"/>
      <c r="B79" s="21">
        <v>72</v>
      </c>
      <c r="C79" s="98" t="s">
        <v>132</v>
      </c>
      <c r="D79" s="57">
        <v>15946.876</v>
      </c>
      <c r="E79" s="42"/>
      <c r="F79" s="251">
        <v>512.23</v>
      </c>
      <c r="G79" s="251">
        <v>275.89600000000002</v>
      </c>
      <c r="H79" s="254">
        <v>236.334</v>
      </c>
      <c r="I79" s="43">
        <f t="shared" si="2"/>
        <v>3.2121024832700775</v>
      </c>
      <c r="J79" s="44">
        <f t="shared" si="3"/>
        <v>0.18856796887213048</v>
      </c>
      <c r="K79" s="39"/>
      <c r="L79" s="40"/>
    </row>
    <row r="80" spans="1:12" s="20" customFormat="1" ht="21.75" customHeight="1" x14ac:dyDescent="0.35">
      <c r="A80" s="1"/>
      <c r="B80" s="21">
        <v>73</v>
      </c>
      <c r="C80" s="98" t="s">
        <v>133</v>
      </c>
      <c r="D80" s="57">
        <v>9684.6790000000001</v>
      </c>
      <c r="E80" s="42"/>
      <c r="F80" s="251">
        <v>512.04300000000001</v>
      </c>
      <c r="G80" s="251">
        <v>258.15899999999999</v>
      </c>
      <c r="H80" s="254">
        <v>253.88399999999999</v>
      </c>
      <c r="I80" s="43">
        <f t="shared" si="2"/>
        <v>5.2871447778496323</v>
      </c>
      <c r="J80" s="44">
        <f t="shared" si="3"/>
        <v>0.18849912829235366</v>
      </c>
      <c r="K80" s="39"/>
      <c r="L80" s="40"/>
    </row>
    <row r="81" spans="1:12" s="20" customFormat="1" ht="21.75" customHeight="1" x14ac:dyDescent="0.35">
      <c r="A81" s="1"/>
      <c r="B81" s="21">
        <v>74</v>
      </c>
      <c r="C81" s="98" t="s">
        <v>134</v>
      </c>
      <c r="D81" s="57">
        <v>58005.463000000003</v>
      </c>
      <c r="E81" s="42"/>
      <c r="F81" s="251">
        <v>509.166</v>
      </c>
      <c r="G81" s="251">
        <v>257.74200000000002</v>
      </c>
      <c r="H81" s="254">
        <v>251.42400000000001</v>
      </c>
      <c r="I81" s="43">
        <f t="shared" si="2"/>
        <v>0.87778973508064218</v>
      </c>
      <c r="J81" s="44">
        <f t="shared" si="3"/>
        <v>0.18744001413182981</v>
      </c>
      <c r="K81" s="39"/>
      <c r="L81" s="40"/>
    </row>
    <row r="82" spans="1:12" s="20" customFormat="1" ht="21.75" customHeight="1" x14ac:dyDescent="0.35">
      <c r="A82" s="1"/>
      <c r="B82" s="21">
        <v>75</v>
      </c>
      <c r="C82" s="98" t="s">
        <v>135</v>
      </c>
      <c r="D82" s="57">
        <v>25876.38</v>
      </c>
      <c r="E82" s="42"/>
      <c r="F82" s="251">
        <v>505.69200000000001</v>
      </c>
      <c r="G82" s="251">
        <v>255.51499999999999</v>
      </c>
      <c r="H82" s="254">
        <v>250.17699999999999</v>
      </c>
      <c r="I82" s="43">
        <f t="shared" si="2"/>
        <v>1.9542609901384969</v>
      </c>
      <c r="J82" s="44">
        <f t="shared" si="3"/>
        <v>0.18616112550003985</v>
      </c>
      <c r="K82" s="39"/>
      <c r="L82" s="40"/>
    </row>
    <row r="83" spans="1:12" s="20" customFormat="1" ht="21.75" customHeight="1" x14ac:dyDescent="0.35">
      <c r="A83" s="1"/>
      <c r="B83" s="21">
        <v>76</v>
      </c>
      <c r="C83" s="98" t="s">
        <v>39</v>
      </c>
      <c r="D83" s="57">
        <v>100388.073</v>
      </c>
      <c r="E83" s="42"/>
      <c r="F83" s="251">
        <v>504.053</v>
      </c>
      <c r="G83" s="251">
        <v>233.005</v>
      </c>
      <c r="H83" s="254">
        <v>271.048</v>
      </c>
      <c r="I83" s="43">
        <f t="shared" si="2"/>
        <v>0.50210446812740395</v>
      </c>
      <c r="J83" s="44">
        <f t="shared" si="3"/>
        <v>0.18555775806552524</v>
      </c>
      <c r="K83" s="39"/>
      <c r="L83" s="40"/>
    </row>
    <row r="84" spans="1:12" s="20" customFormat="1" ht="21.75" customHeight="1" x14ac:dyDescent="0.35">
      <c r="A84" s="1"/>
      <c r="B84" s="21">
        <v>77</v>
      </c>
      <c r="C84" s="98" t="s">
        <v>136</v>
      </c>
      <c r="D84" s="57">
        <v>28608.71</v>
      </c>
      <c r="E84" s="42"/>
      <c r="F84" s="251">
        <v>490.80200000000002</v>
      </c>
      <c r="G84" s="251">
        <v>342.315</v>
      </c>
      <c r="H84" s="254">
        <v>148.48699999999999</v>
      </c>
      <c r="I84" s="43">
        <f t="shared" si="2"/>
        <v>1.715568440520387</v>
      </c>
      <c r="J84" s="44">
        <f t="shared" si="3"/>
        <v>0.180679648318879</v>
      </c>
      <c r="K84" s="39"/>
      <c r="L84" s="40"/>
    </row>
    <row r="85" spans="1:12" s="20" customFormat="1" ht="21.75" customHeight="1" x14ac:dyDescent="0.35">
      <c r="A85" s="1"/>
      <c r="B85" s="21">
        <v>78</v>
      </c>
      <c r="C85" s="98" t="s">
        <v>137</v>
      </c>
      <c r="D85" s="57">
        <v>19658.030999999999</v>
      </c>
      <c r="E85" s="42"/>
      <c r="F85" s="251">
        <v>468.23</v>
      </c>
      <c r="G85" s="251">
        <v>230.80199999999999</v>
      </c>
      <c r="H85" s="254">
        <v>237.428</v>
      </c>
      <c r="I85" s="43">
        <f t="shared" si="2"/>
        <v>2.381876394436452</v>
      </c>
      <c r="J85" s="44">
        <f t="shared" si="3"/>
        <v>0.17237018539522805</v>
      </c>
      <c r="K85" s="39"/>
      <c r="L85" s="40"/>
    </row>
    <row r="86" spans="1:12" s="20" customFormat="1" ht="21.75" customHeight="1" x14ac:dyDescent="0.35">
      <c r="A86" s="1"/>
      <c r="B86" s="21">
        <v>79</v>
      </c>
      <c r="C86" s="98" t="s">
        <v>138</v>
      </c>
      <c r="D86" s="57">
        <v>30417.856</v>
      </c>
      <c r="E86" s="42"/>
      <c r="F86" s="251">
        <v>466.78</v>
      </c>
      <c r="G86" s="251">
        <v>217.55600000000001</v>
      </c>
      <c r="H86" s="254">
        <v>249.22399999999999</v>
      </c>
      <c r="I86" s="43">
        <f t="shared" si="2"/>
        <v>1.5345591747163245</v>
      </c>
      <c r="J86" s="44">
        <f t="shared" si="3"/>
        <v>0.17183639480337556</v>
      </c>
      <c r="K86" s="39"/>
      <c r="L86" s="40"/>
    </row>
    <row r="87" spans="1:12" s="20" customFormat="1" ht="21.75" customHeight="1" x14ac:dyDescent="0.35">
      <c r="A87" s="1"/>
      <c r="B87" s="21">
        <v>80</v>
      </c>
      <c r="C87" s="98" t="s">
        <v>41</v>
      </c>
      <c r="D87" s="57">
        <v>19364.557000000001</v>
      </c>
      <c r="E87" s="42"/>
      <c r="F87" s="251">
        <v>462.55200000000002</v>
      </c>
      <c r="G87" s="251">
        <v>213.70099999999999</v>
      </c>
      <c r="H87" s="254">
        <v>248.851</v>
      </c>
      <c r="I87" s="43">
        <f t="shared" si="2"/>
        <v>2.3886526296470403</v>
      </c>
      <c r="J87" s="44">
        <f t="shared" si="3"/>
        <v>0.17027993506382233</v>
      </c>
      <c r="K87" s="39"/>
      <c r="L87" s="40"/>
    </row>
    <row r="88" spans="1:12" s="20" customFormat="1" ht="21.75" customHeight="1" x14ac:dyDescent="0.35">
      <c r="A88" s="1"/>
      <c r="B88" s="21">
        <v>81</v>
      </c>
      <c r="C88" s="98" t="s">
        <v>139</v>
      </c>
      <c r="D88" s="57">
        <v>5047.5609999999997</v>
      </c>
      <c r="E88" s="42"/>
      <c r="F88" s="251">
        <v>417.76799999999997</v>
      </c>
      <c r="G88" s="251">
        <v>215.834</v>
      </c>
      <c r="H88" s="254">
        <v>201.934</v>
      </c>
      <c r="I88" s="43">
        <f t="shared" si="2"/>
        <v>8.2766310303134532</v>
      </c>
      <c r="J88" s="44">
        <f t="shared" si="3"/>
        <v>0.15379353653587688</v>
      </c>
      <c r="K88" s="39"/>
      <c r="L88" s="40"/>
    </row>
    <row r="89" spans="1:12" s="20" customFormat="1" ht="21.75" customHeight="1" x14ac:dyDescent="0.35">
      <c r="A89" s="1"/>
      <c r="B89" s="21">
        <v>82</v>
      </c>
      <c r="C89" s="98" t="s">
        <v>140</v>
      </c>
      <c r="D89" s="57">
        <v>2172.5790000000002</v>
      </c>
      <c r="E89" s="42"/>
      <c r="F89" s="251">
        <v>411.46300000000002</v>
      </c>
      <c r="G89" s="251">
        <v>146.70500000000001</v>
      </c>
      <c r="H89" s="254">
        <v>264.75799999999998</v>
      </c>
      <c r="I89" s="43">
        <f t="shared" si="2"/>
        <v>18.938920057682598</v>
      </c>
      <c r="J89" s="44">
        <f t="shared" si="3"/>
        <v>0.15147246778992529</v>
      </c>
      <c r="K89" s="39"/>
      <c r="L89" s="40"/>
    </row>
    <row r="90" spans="1:12" s="20" customFormat="1" ht="21.75" customHeight="1" x14ac:dyDescent="0.35">
      <c r="A90" s="1"/>
      <c r="B90" s="21">
        <v>83</v>
      </c>
      <c r="C90" s="98" t="s">
        <v>141</v>
      </c>
      <c r="D90" s="57">
        <v>14645.468000000001</v>
      </c>
      <c r="E90" s="42"/>
      <c r="F90" s="251">
        <v>411.25700000000001</v>
      </c>
      <c r="G90" s="251">
        <v>177.60499999999999</v>
      </c>
      <c r="H90" s="254">
        <v>233.65199999999999</v>
      </c>
      <c r="I90" s="43">
        <f t="shared" si="2"/>
        <v>2.8080837020708382</v>
      </c>
      <c r="J90" s="44">
        <f t="shared" si="3"/>
        <v>0.15139663271273798</v>
      </c>
      <c r="K90" s="39"/>
      <c r="L90" s="40"/>
    </row>
    <row r="91" spans="1:12" s="20" customFormat="1" ht="21.75" customHeight="1" x14ac:dyDescent="0.35">
      <c r="A91" s="1"/>
      <c r="B91" s="21">
        <v>84</v>
      </c>
      <c r="C91" s="98" t="s">
        <v>142</v>
      </c>
      <c r="D91" s="57">
        <v>5380.5079999999998</v>
      </c>
      <c r="E91" s="42"/>
      <c r="F91" s="251">
        <v>402.142</v>
      </c>
      <c r="G91" s="251">
        <v>181.904</v>
      </c>
      <c r="H91" s="254">
        <v>220.238</v>
      </c>
      <c r="I91" s="43">
        <f t="shared" si="2"/>
        <v>7.47405263592211</v>
      </c>
      <c r="J91" s="44">
        <f t="shared" si="3"/>
        <v>0.14804111461292055</v>
      </c>
      <c r="K91" s="39"/>
      <c r="L91" s="40"/>
    </row>
    <row r="92" spans="1:12" s="20" customFormat="1" ht="21.75" customHeight="1" x14ac:dyDescent="0.35">
      <c r="A92" s="1"/>
      <c r="B92" s="21">
        <v>85</v>
      </c>
      <c r="C92" s="98" t="s">
        <v>143</v>
      </c>
      <c r="D92" s="57">
        <v>640.44500000000005</v>
      </c>
      <c r="E92" s="42"/>
      <c r="F92" s="251">
        <v>399.572</v>
      </c>
      <c r="G92" s="251">
        <v>214.07</v>
      </c>
      <c r="H92" s="254">
        <v>185.50200000000001</v>
      </c>
      <c r="I92" s="43">
        <f t="shared" si="2"/>
        <v>62.389744630686472</v>
      </c>
      <c r="J92" s="44">
        <f t="shared" si="3"/>
        <v>0.14709501680529238</v>
      </c>
      <c r="K92" s="39"/>
      <c r="L92" s="40"/>
    </row>
    <row r="93" spans="1:12" s="20" customFormat="1" ht="21.75" customHeight="1" x14ac:dyDescent="0.35">
      <c r="A93" s="1"/>
      <c r="B93" s="21">
        <v>86</v>
      </c>
      <c r="C93" s="98" t="s">
        <v>144</v>
      </c>
      <c r="D93" s="57">
        <v>11801.151</v>
      </c>
      <c r="E93" s="42"/>
      <c r="F93" s="251">
        <v>390.11200000000002</v>
      </c>
      <c r="G93" s="251">
        <v>206.51900000000001</v>
      </c>
      <c r="H93" s="254">
        <v>183.59299999999999</v>
      </c>
      <c r="I93" s="43">
        <f t="shared" si="2"/>
        <v>3.3057114513660579</v>
      </c>
      <c r="J93" s="44">
        <f t="shared" si="3"/>
        <v>0.14361249335775839</v>
      </c>
      <c r="K93" s="39"/>
      <c r="L93" s="40"/>
    </row>
    <row r="94" spans="1:12" s="20" customFormat="1" ht="21.75" customHeight="1" x14ac:dyDescent="0.35">
      <c r="A94" s="1"/>
      <c r="B94" s="21">
        <v>87</v>
      </c>
      <c r="C94" s="98" t="s">
        <v>145</v>
      </c>
      <c r="D94" s="57">
        <v>29161.921999999999</v>
      </c>
      <c r="E94" s="42"/>
      <c r="F94" s="251">
        <v>385.62799999999999</v>
      </c>
      <c r="G94" s="251">
        <v>183.214</v>
      </c>
      <c r="H94" s="254">
        <v>202.41399999999999</v>
      </c>
      <c r="I94" s="43">
        <f t="shared" si="2"/>
        <v>1.3223682581689917</v>
      </c>
      <c r="J94" s="44">
        <f t="shared" si="3"/>
        <v>0.14196179196888495</v>
      </c>
      <c r="K94" s="39"/>
      <c r="L94" s="40"/>
    </row>
    <row r="95" spans="1:12" s="20" customFormat="1" ht="21.75" customHeight="1" x14ac:dyDescent="0.35">
      <c r="A95" s="1"/>
      <c r="B95" s="21">
        <v>88</v>
      </c>
      <c r="C95" s="98" t="s">
        <v>146</v>
      </c>
      <c r="D95" s="57">
        <v>5532.1559999999999</v>
      </c>
      <c r="E95" s="42"/>
      <c r="F95" s="251">
        <v>383.11599999999999</v>
      </c>
      <c r="G95" s="251">
        <v>186.928</v>
      </c>
      <c r="H95" s="254">
        <v>196.18799999999999</v>
      </c>
      <c r="I95" s="43">
        <f t="shared" si="2"/>
        <v>6.9252566268919384</v>
      </c>
      <c r="J95" s="44">
        <f t="shared" si="3"/>
        <v>0.14103704578493087</v>
      </c>
      <c r="K95" s="39"/>
      <c r="L95" s="40"/>
    </row>
    <row r="96" spans="1:12" s="20" customFormat="1" ht="21.75" customHeight="1" x14ac:dyDescent="0.35">
      <c r="A96" s="1"/>
      <c r="B96" s="21">
        <v>89</v>
      </c>
      <c r="C96" s="98" t="s">
        <v>147</v>
      </c>
      <c r="D96" s="57">
        <v>17373.662</v>
      </c>
      <c r="E96" s="42"/>
      <c r="F96" s="251">
        <v>381.50700000000001</v>
      </c>
      <c r="G96" s="251">
        <v>184.345</v>
      </c>
      <c r="H96" s="254">
        <v>197.16200000000001</v>
      </c>
      <c r="I96" s="43">
        <f t="shared" si="2"/>
        <v>2.1958928405537073</v>
      </c>
      <c r="J96" s="44">
        <f t="shared" si="3"/>
        <v>0.14044472229369598</v>
      </c>
      <c r="K96" s="39"/>
      <c r="L96" s="40"/>
    </row>
    <row r="97" spans="1:12" s="20" customFormat="1" ht="21.75" customHeight="1" x14ac:dyDescent="0.35">
      <c r="A97" s="1"/>
      <c r="B97" s="21">
        <v>90</v>
      </c>
      <c r="C97" s="98" t="s">
        <v>148</v>
      </c>
      <c r="D97" s="57">
        <v>39309.783000000003</v>
      </c>
      <c r="E97" s="42"/>
      <c r="F97" s="251">
        <v>368.06200000000001</v>
      </c>
      <c r="G97" s="251">
        <v>153.774</v>
      </c>
      <c r="H97" s="254">
        <v>214.28800000000001</v>
      </c>
      <c r="I97" s="43">
        <f t="shared" si="2"/>
        <v>0.93631145203727018</v>
      </c>
      <c r="J97" s="44">
        <f t="shared" si="3"/>
        <v>0.1354951950471743</v>
      </c>
      <c r="K97" s="39"/>
      <c r="L97" s="40"/>
    </row>
    <row r="98" spans="1:12" s="20" customFormat="1" ht="21.75" customHeight="1" x14ac:dyDescent="0.35">
      <c r="A98" s="1"/>
      <c r="B98" s="21">
        <v>91</v>
      </c>
      <c r="C98" s="98" t="s">
        <v>42</v>
      </c>
      <c r="D98" s="57">
        <v>270625.56800000003</v>
      </c>
      <c r="E98" s="42"/>
      <c r="F98" s="251">
        <v>353.13499999999999</v>
      </c>
      <c r="G98" s="251">
        <v>147.684</v>
      </c>
      <c r="H98" s="254">
        <v>205.45099999999999</v>
      </c>
      <c r="I98" s="43">
        <f t="shared" si="2"/>
        <v>0.13048840972779036</v>
      </c>
      <c r="J98" s="44">
        <f t="shared" si="3"/>
        <v>0.13000009700263515</v>
      </c>
      <c r="K98" s="39"/>
      <c r="L98" s="40"/>
    </row>
    <row r="99" spans="1:12" s="20" customFormat="1" ht="21.75" customHeight="1" x14ac:dyDescent="0.35">
      <c r="A99" s="1"/>
      <c r="B99" s="21">
        <v>92</v>
      </c>
      <c r="C99" s="98" t="s">
        <v>149</v>
      </c>
      <c r="D99" s="57">
        <v>30366.036</v>
      </c>
      <c r="E99" s="42"/>
      <c r="F99" s="251">
        <v>334.66500000000002</v>
      </c>
      <c r="G99" s="251">
        <v>172.934</v>
      </c>
      <c r="H99" s="254">
        <v>161.73099999999999</v>
      </c>
      <c r="I99" s="43">
        <f t="shared" si="2"/>
        <v>1.1021030206247535</v>
      </c>
      <c r="J99" s="44">
        <f t="shared" si="3"/>
        <v>0.1232007092567627</v>
      </c>
      <c r="K99" s="39"/>
      <c r="L99" s="40"/>
    </row>
    <row r="100" spans="1:12" s="20" customFormat="1" ht="21.75" customHeight="1" x14ac:dyDescent="0.35">
      <c r="A100" s="1"/>
      <c r="B100" s="21">
        <v>93</v>
      </c>
      <c r="C100" s="98" t="s">
        <v>150</v>
      </c>
      <c r="D100" s="57">
        <v>11530.58</v>
      </c>
      <c r="E100" s="42"/>
      <c r="F100" s="251">
        <v>321.01799999999997</v>
      </c>
      <c r="G100" s="251">
        <v>162.85499999999999</v>
      </c>
      <c r="H100" s="254">
        <v>158.16300000000001</v>
      </c>
      <c r="I100" s="43">
        <f t="shared" si="2"/>
        <v>2.7840576970109048</v>
      </c>
      <c r="J100" s="44">
        <f t="shared" si="3"/>
        <v>0.11817681945882433</v>
      </c>
      <c r="K100" s="39"/>
      <c r="L100" s="40"/>
    </row>
    <row r="101" spans="1:12" s="20" customFormat="1" ht="21.75" customHeight="1" x14ac:dyDescent="0.35">
      <c r="A101" s="1"/>
      <c r="B101" s="21">
        <v>94</v>
      </c>
      <c r="C101" s="98" t="s">
        <v>151</v>
      </c>
      <c r="D101" s="57">
        <v>23310.715</v>
      </c>
      <c r="E101" s="42"/>
      <c r="F101" s="251">
        <v>294.161</v>
      </c>
      <c r="G101" s="251">
        <v>154.73500000000001</v>
      </c>
      <c r="H101" s="254">
        <v>139.42599999999999</v>
      </c>
      <c r="I101" s="43">
        <f t="shared" si="2"/>
        <v>1.2619132446173358</v>
      </c>
      <c r="J101" s="44">
        <f t="shared" si="3"/>
        <v>0.10828991330338866</v>
      </c>
      <c r="K101" s="39"/>
      <c r="L101" s="40"/>
    </row>
    <row r="102" spans="1:12" s="20" customFormat="1" ht="21.75" customHeight="1" x14ac:dyDescent="0.35">
      <c r="A102" s="1"/>
      <c r="B102" s="21">
        <v>95</v>
      </c>
      <c r="C102" s="98" t="s">
        <v>152</v>
      </c>
      <c r="D102" s="57">
        <v>615.72900000000004</v>
      </c>
      <c r="E102" s="42"/>
      <c r="F102" s="251">
        <v>291.72300000000001</v>
      </c>
      <c r="G102" s="251">
        <v>143.053</v>
      </c>
      <c r="H102" s="254">
        <v>148.66999999999999</v>
      </c>
      <c r="I102" s="43">
        <f t="shared" si="2"/>
        <v>47.378473321867247</v>
      </c>
      <c r="J102" s="44">
        <f t="shared" si="3"/>
        <v>0.10739240884619122</v>
      </c>
      <c r="K102" s="39"/>
      <c r="L102" s="40"/>
    </row>
    <row r="103" spans="1:12" s="20" customFormat="1" ht="21.75" customHeight="1" x14ac:dyDescent="0.35">
      <c r="A103" s="1"/>
      <c r="B103" s="21">
        <v>96</v>
      </c>
      <c r="C103" s="98" t="s">
        <v>281</v>
      </c>
      <c r="D103" s="57">
        <v>8082.366</v>
      </c>
      <c r="E103" s="42"/>
      <c r="F103" s="251">
        <v>279.142</v>
      </c>
      <c r="G103" s="251">
        <v>137.85599999999999</v>
      </c>
      <c r="H103" s="254">
        <v>141.286</v>
      </c>
      <c r="I103" s="43">
        <f t="shared" si="2"/>
        <v>3.4537163993810722</v>
      </c>
      <c r="J103" s="44">
        <f t="shared" si="3"/>
        <v>0.10276094716612508</v>
      </c>
      <c r="K103" s="39"/>
      <c r="L103" s="40"/>
    </row>
    <row r="104" spans="1:12" s="20" customFormat="1" ht="21.75" customHeight="1" x14ac:dyDescent="0.35">
      <c r="A104" s="1"/>
      <c r="B104" s="21">
        <v>97</v>
      </c>
      <c r="C104" s="98" t="s">
        <v>153</v>
      </c>
      <c r="D104" s="57">
        <v>16296.364</v>
      </c>
      <c r="E104" s="42"/>
      <c r="F104" s="251">
        <v>275.23899999999998</v>
      </c>
      <c r="G104" s="251">
        <v>129.24299999999999</v>
      </c>
      <c r="H104" s="254">
        <v>145.99600000000001</v>
      </c>
      <c r="I104" s="43">
        <f t="shared" si="2"/>
        <v>1.6889595740497694</v>
      </c>
      <c r="J104" s="44">
        <f t="shared" si="3"/>
        <v>0.1013241301454353</v>
      </c>
      <c r="K104" s="39"/>
      <c r="L104" s="40"/>
    </row>
    <row r="105" spans="1:12" s="20" customFormat="1" ht="21.75" customHeight="1" x14ac:dyDescent="0.35">
      <c r="A105" s="1"/>
      <c r="B105" s="21">
        <v>98</v>
      </c>
      <c r="C105" s="98" t="s">
        <v>154</v>
      </c>
      <c r="D105" s="57">
        <v>9321.018</v>
      </c>
      <c r="E105" s="42"/>
      <c r="F105" s="251">
        <v>274.07100000000003</v>
      </c>
      <c r="G105" s="251">
        <v>155.864</v>
      </c>
      <c r="H105" s="254">
        <v>118.20699999999999</v>
      </c>
      <c r="I105" s="43">
        <f t="shared" si="2"/>
        <v>2.9403547981561675</v>
      </c>
      <c r="J105" s="44">
        <f t="shared" si="3"/>
        <v>0.10089415262041208</v>
      </c>
      <c r="K105" s="39"/>
      <c r="L105" s="40"/>
    </row>
    <row r="106" spans="1:12" s="20" customFormat="1" ht="21.75" customHeight="1" x14ac:dyDescent="0.35">
      <c r="A106" s="1"/>
      <c r="B106" s="21">
        <v>99</v>
      </c>
      <c r="C106" s="98" t="s">
        <v>58</v>
      </c>
      <c r="D106" s="57">
        <v>2933.4079999999999</v>
      </c>
      <c r="E106" s="42"/>
      <c r="F106" s="251">
        <v>266.82799999999997</v>
      </c>
      <c r="G106" s="251">
        <v>142.84800000000001</v>
      </c>
      <c r="H106" s="254">
        <v>123.98</v>
      </c>
      <c r="I106" s="43">
        <f t="shared" si="2"/>
        <v>9.0961775518441339</v>
      </c>
      <c r="J106" s="44">
        <f t="shared" si="3"/>
        <v>9.822777658124833E-2</v>
      </c>
      <c r="K106" s="39"/>
      <c r="L106" s="40"/>
    </row>
    <row r="107" spans="1:12" s="20" customFormat="1" ht="21.75" customHeight="1" x14ac:dyDescent="0.35">
      <c r="A107" s="1"/>
      <c r="B107" s="21">
        <v>100</v>
      </c>
      <c r="C107" s="98" t="s">
        <v>155</v>
      </c>
      <c r="D107" s="57">
        <v>10047.718000000001</v>
      </c>
      <c r="E107" s="42"/>
      <c r="F107" s="251">
        <v>253.887</v>
      </c>
      <c r="G107" s="251">
        <v>132.24700000000001</v>
      </c>
      <c r="H107" s="254">
        <v>121.64</v>
      </c>
      <c r="I107" s="43">
        <f t="shared" si="2"/>
        <v>2.5268125558460137</v>
      </c>
      <c r="J107" s="44">
        <f t="shared" si="3"/>
        <v>9.3463787581825733E-2</v>
      </c>
      <c r="K107" s="39"/>
      <c r="L107" s="40"/>
    </row>
    <row r="108" spans="1:12" s="20" customFormat="1" ht="21.75" customHeight="1" x14ac:dyDescent="0.35">
      <c r="A108" s="1"/>
      <c r="B108" s="21">
        <v>101</v>
      </c>
      <c r="C108" s="98" t="s">
        <v>296</v>
      </c>
      <c r="D108" s="57">
        <v>4981.42</v>
      </c>
      <c r="E108" s="42"/>
      <c r="F108" s="251">
        <v>253.73500000000001</v>
      </c>
      <c r="G108" s="251">
        <v>141.28299999999999</v>
      </c>
      <c r="H108" s="254">
        <v>112.452</v>
      </c>
      <c r="I108" s="43">
        <f t="shared" si="2"/>
        <v>5.0936279213557585</v>
      </c>
      <c r="J108" s="44">
        <f t="shared" si="3"/>
        <v>9.3407831602541888E-2</v>
      </c>
      <c r="K108" s="39"/>
      <c r="L108" s="40"/>
    </row>
    <row r="109" spans="1:12" s="20" customFormat="1" ht="21.75" customHeight="1" x14ac:dyDescent="0.35">
      <c r="A109" s="1"/>
      <c r="B109" s="21">
        <v>102</v>
      </c>
      <c r="C109" s="98" t="s">
        <v>156</v>
      </c>
      <c r="D109" s="57">
        <v>2078.654</v>
      </c>
      <c r="E109" s="42"/>
      <c r="F109" s="251">
        <v>253.12200000000001</v>
      </c>
      <c r="G109" s="251">
        <v>110.496</v>
      </c>
      <c r="H109" s="254">
        <v>142.626</v>
      </c>
      <c r="I109" s="43">
        <f t="shared" si="2"/>
        <v>12.177206981056012</v>
      </c>
      <c r="J109" s="44">
        <f t="shared" si="3"/>
        <v>9.3182167028193222E-2</v>
      </c>
      <c r="K109" s="39"/>
      <c r="L109" s="40"/>
    </row>
    <row r="110" spans="1:12" s="20" customFormat="1" ht="21.75" customHeight="1" x14ac:dyDescent="0.35">
      <c r="A110" s="1"/>
      <c r="B110" s="21">
        <v>103</v>
      </c>
      <c r="C110" s="98" t="s">
        <v>157</v>
      </c>
      <c r="D110" s="57">
        <v>43053.053999999996</v>
      </c>
      <c r="E110" s="42"/>
      <c r="F110" s="251">
        <v>249.07499999999999</v>
      </c>
      <c r="G110" s="251">
        <v>117.479</v>
      </c>
      <c r="H110" s="254">
        <v>131.596</v>
      </c>
      <c r="I110" s="43">
        <f t="shared" si="2"/>
        <v>0.57853038718228911</v>
      </c>
      <c r="J110" s="44">
        <f t="shared" si="3"/>
        <v>9.1692339079760848E-2</v>
      </c>
      <c r="K110" s="39"/>
      <c r="L110" s="40"/>
    </row>
    <row r="111" spans="1:12" s="20" customFormat="1" ht="21.75" customHeight="1" x14ac:dyDescent="0.35">
      <c r="A111" s="1"/>
      <c r="B111" s="21">
        <v>104</v>
      </c>
      <c r="C111" s="98" t="s">
        <v>158</v>
      </c>
      <c r="D111" s="57">
        <v>18628.746999999999</v>
      </c>
      <c r="E111" s="42"/>
      <c r="F111" s="251">
        <v>247.65199999999999</v>
      </c>
      <c r="G111" s="251">
        <v>129.72</v>
      </c>
      <c r="H111" s="254">
        <v>117.932</v>
      </c>
      <c r="I111" s="43">
        <f t="shared" si="2"/>
        <v>1.3294077159349473</v>
      </c>
      <c r="J111" s="44">
        <f t="shared" si="3"/>
        <v>9.1168488036860118E-2</v>
      </c>
      <c r="K111" s="39"/>
      <c r="L111" s="40"/>
    </row>
    <row r="112" spans="1:12" s="20" customFormat="1" ht="21.75" customHeight="1" x14ac:dyDescent="0.35">
      <c r="A112" s="1"/>
      <c r="B112" s="21">
        <v>105</v>
      </c>
      <c r="C112" s="98" t="s">
        <v>159</v>
      </c>
      <c r="D112" s="57">
        <v>1906.7429999999999</v>
      </c>
      <c r="E112" s="42"/>
      <c r="F112" s="251">
        <v>237.26599999999999</v>
      </c>
      <c r="G112" s="251">
        <v>143.87</v>
      </c>
      <c r="H112" s="254">
        <v>93.396000000000001</v>
      </c>
      <c r="I112" s="43">
        <f t="shared" si="2"/>
        <v>12.443522803020649</v>
      </c>
      <c r="J112" s="44">
        <f t="shared" si="3"/>
        <v>8.7345074873425826E-2</v>
      </c>
      <c r="K112" s="39"/>
      <c r="L112" s="40"/>
    </row>
    <row r="113" spans="1:12" s="20" customFormat="1" ht="21.75" customHeight="1" x14ac:dyDescent="0.35">
      <c r="A113" s="1"/>
      <c r="B113" s="21">
        <v>106</v>
      </c>
      <c r="C113" s="98" t="s">
        <v>160</v>
      </c>
      <c r="D113" s="57">
        <v>1355.9860000000001</v>
      </c>
      <c r="E113" s="42"/>
      <c r="F113" s="251">
        <v>227.61699999999999</v>
      </c>
      <c r="G113" s="251">
        <v>52.213999999999999</v>
      </c>
      <c r="H113" s="254">
        <v>175.40299999999999</v>
      </c>
      <c r="I113" s="43">
        <f t="shared" si="2"/>
        <v>16.786087761968041</v>
      </c>
      <c r="J113" s="44">
        <f t="shared" si="3"/>
        <v>8.3792974583229651E-2</v>
      </c>
      <c r="K113" s="39"/>
      <c r="L113" s="40"/>
    </row>
    <row r="114" spans="1:12" s="20" customFormat="1" ht="21.75" customHeight="1" x14ac:dyDescent="0.35">
      <c r="A114" s="1"/>
      <c r="B114" s="21">
        <v>107</v>
      </c>
      <c r="C114" s="98" t="s">
        <v>36</v>
      </c>
      <c r="D114" s="57">
        <v>108116.61500000001</v>
      </c>
      <c r="E114" s="42"/>
      <c r="F114" s="251">
        <v>218.53</v>
      </c>
      <c r="G114" s="251">
        <v>105.291</v>
      </c>
      <c r="H114" s="254">
        <v>113.239</v>
      </c>
      <c r="I114" s="43">
        <f t="shared" si="2"/>
        <v>0.20212434508794044</v>
      </c>
      <c r="J114" s="44">
        <f t="shared" si="3"/>
        <v>8.044776416380664E-2</v>
      </c>
      <c r="K114" s="39"/>
      <c r="L114" s="40"/>
    </row>
    <row r="115" spans="1:12" s="20" customFormat="1" ht="21.75" customHeight="1" x14ac:dyDescent="0.35">
      <c r="A115" s="1"/>
      <c r="B115" s="21">
        <v>108</v>
      </c>
      <c r="C115" s="98" t="s">
        <v>161</v>
      </c>
      <c r="D115" s="57">
        <v>2347.7060000000001</v>
      </c>
      <c r="E115" s="42"/>
      <c r="F115" s="251">
        <v>215.40600000000001</v>
      </c>
      <c r="G115" s="251">
        <v>101.854</v>
      </c>
      <c r="H115" s="254">
        <v>113.55200000000001</v>
      </c>
      <c r="I115" s="43">
        <f t="shared" si="2"/>
        <v>9.1751692929182784</v>
      </c>
      <c r="J115" s="44">
        <f t="shared" si="3"/>
        <v>7.9297721536946572E-2</v>
      </c>
      <c r="K115" s="39"/>
      <c r="L115" s="40"/>
    </row>
    <row r="116" spans="1:12" s="20" customFormat="1" ht="21.75" customHeight="1" x14ac:dyDescent="0.35">
      <c r="A116" s="1"/>
      <c r="B116" s="21">
        <v>109</v>
      </c>
      <c r="C116" s="98" t="s">
        <v>162</v>
      </c>
      <c r="D116" s="57">
        <v>6415.85</v>
      </c>
      <c r="E116" s="42"/>
      <c r="F116" s="251">
        <v>200.26</v>
      </c>
      <c r="G116" s="251">
        <v>119.315</v>
      </c>
      <c r="H116" s="254">
        <v>80.944999999999993</v>
      </c>
      <c r="I116" s="43">
        <f t="shared" si="2"/>
        <v>3.1213323254128444</v>
      </c>
      <c r="J116" s="44">
        <f t="shared" si="3"/>
        <v>7.3722002706465561E-2</v>
      </c>
      <c r="K116" s="39"/>
      <c r="L116" s="40"/>
    </row>
    <row r="117" spans="1:12" s="20" customFormat="1" ht="21.75" customHeight="1" x14ac:dyDescent="0.35">
      <c r="A117" s="1"/>
      <c r="B117" s="21">
        <v>110</v>
      </c>
      <c r="C117" s="98" t="s">
        <v>163</v>
      </c>
      <c r="D117" s="57">
        <v>5942.0889999999999</v>
      </c>
      <c r="E117" s="42"/>
      <c r="F117" s="251">
        <v>195.12700000000001</v>
      </c>
      <c r="G117" s="251">
        <v>102.887</v>
      </c>
      <c r="H117" s="254">
        <v>92.24</v>
      </c>
      <c r="I117" s="43">
        <f t="shared" si="2"/>
        <v>3.2838114676505188</v>
      </c>
      <c r="J117" s="44">
        <f t="shared" si="3"/>
        <v>7.1832384011307829E-2</v>
      </c>
      <c r="K117" s="39"/>
      <c r="L117" s="40"/>
    </row>
    <row r="118" spans="1:12" s="20" customFormat="1" ht="21.75" customHeight="1" x14ac:dyDescent="0.35">
      <c r="A118" s="1"/>
      <c r="B118" s="21">
        <v>111</v>
      </c>
      <c r="C118" s="98" t="s">
        <v>164</v>
      </c>
      <c r="D118" s="57">
        <v>1198.575</v>
      </c>
      <c r="E118" s="42"/>
      <c r="F118" s="251">
        <v>191.922</v>
      </c>
      <c r="G118" s="251">
        <v>106.714</v>
      </c>
      <c r="H118" s="254">
        <v>85.207999999999998</v>
      </c>
      <c r="I118" s="43">
        <f t="shared" si="2"/>
        <v>16.012514861397907</v>
      </c>
      <c r="J118" s="44">
        <f t="shared" si="3"/>
        <v>7.0652522737592538E-2</v>
      </c>
      <c r="K118" s="39"/>
      <c r="L118" s="40"/>
    </row>
    <row r="119" spans="1:12" s="20" customFormat="1" ht="21.75" customHeight="1" x14ac:dyDescent="0.35">
      <c r="A119" s="1"/>
      <c r="B119" s="21">
        <v>112</v>
      </c>
      <c r="C119" s="98" t="s">
        <v>165</v>
      </c>
      <c r="D119" s="57">
        <v>1325.6479999999999</v>
      </c>
      <c r="E119" s="42"/>
      <c r="F119" s="251">
        <v>190.24199999999999</v>
      </c>
      <c r="G119" s="251">
        <v>109.626</v>
      </c>
      <c r="H119" s="254">
        <v>80.616</v>
      </c>
      <c r="I119" s="43">
        <f t="shared" si="2"/>
        <v>14.350868405489239</v>
      </c>
      <c r="J119" s="44">
        <f t="shared" si="3"/>
        <v>7.0034061913928983E-2</v>
      </c>
      <c r="K119" s="39"/>
      <c r="L119" s="40"/>
    </row>
    <row r="120" spans="1:12" s="20" customFormat="1" ht="21.75" customHeight="1" x14ac:dyDescent="0.35">
      <c r="A120" s="1"/>
      <c r="B120" s="21">
        <v>113</v>
      </c>
      <c r="C120" s="98" t="s">
        <v>166</v>
      </c>
      <c r="D120" s="57">
        <v>2957.7310000000002</v>
      </c>
      <c r="E120" s="42"/>
      <c r="F120" s="251">
        <v>190.15899999999999</v>
      </c>
      <c r="G120" s="251">
        <v>112.158</v>
      </c>
      <c r="H120" s="254">
        <v>78.001000000000005</v>
      </c>
      <c r="I120" s="43">
        <f t="shared" si="2"/>
        <v>6.4292188843407319</v>
      </c>
      <c r="J120" s="44">
        <f t="shared" si="3"/>
        <v>7.0003507004188475E-2</v>
      </c>
      <c r="K120" s="39"/>
      <c r="L120" s="40"/>
    </row>
    <row r="121" spans="1:12" s="20" customFormat="1" ht="21.75" customHeight="1" x14ac:dyDescent="0.35">
      <c r="A121" s="1"/>
      <c r="B121" s="21">
        <v>114</v>
      </c>
      <c r="C121" s="98" t="s">
        <v>167</v>
      </c>
      <c r="D121" s="57">
        <v>5457.0129999999999</v>
      </c>
      <c r="E121" s="42"/>
      <c r="F121" s="251">
        <v>187.98400000000001</v>
      </c>
      <c r="G121" s="251">
        <v>91.974000000000004</v>
      </c>
      <c r="H121" s="254">
        <v>96.01</v>
      </c>
      <c r="I121" s="43">
        <f t="shared" si="2"/>
        <v>3.4448149564606139</v>
      </c>
      <c r="J121" s="44">
        <f t="shared" si="3"/>
        <v>6.9202821116409768E-2</v>
      </c>
      <c r="K121" s="39"/>
      <c r="L121" s="40"/>
    </row>
    <row r="122" spans="1:12" s="20" customFormat="1" ht="21.75" customHeight="1" x14ac:dyDescent="0.35">
      <c r="A122" s="1"/>
      <c r="B122" s="21">
        <v>115</v>
      </c>
      <c r="C122" s="98" t="s">
        <v>168</v>
      </c>
      <c r="D122" s="57">
        <v>4246.4390000000003</v>
      </c>
      <c r="E122" s="42"/>
      <c r="F122" s="251">
        <v>185.072</v>
      </c>
      <c r="G122" s="251">
        <v>90.676000000000002</v>
      </c>
      <c r="H122" s="254">
        <v>94.396000000000001</v>
      </c>
      <c r="I122" s="43">
        <f t="shared" si="2"/>
        <v>4.3582870259057058</v>
      </c>
      <c r="J122" s="44">
        <f t="shared" si="3"/>
        <v>6.8130822355392959E-2</v>
      </c>
      <c r="K122" s="39"/>
      <c r="L122" s="40"/>
    </row>
    <row r="123" spans="1:12" s="20" customFormat="1" ht="21.75" customHeight="1" x14ac:dyDescent="0.35">
      <c r="A123" s="1"/>
      <c r="B123" s="21">
        <v>116</v>
      </c>
      <c r="C123" s="98" t="s">
        <v>169</v>
      </c>
      <c r="D123" s="57">
        <v>4525.6959999999999</v>
      </c>
      <c r="E123" s="42"/>
      <c r="F123" s="251">
        <v>172.98699999999999</v>
      </c>
      <c r="G123" s="251">
        <v>75.221000000000004</v>
      </c>
      <c r="H123" s="254">
        <v>97.766000000000005</v>
      </c>
      <c r="I123" s="43">
        <f t="shared" si="2"/>
        <v>3.822329206380632</v>
      </c>
      <c r="J123" s="44">
        <f t="shared" si="3"/>
        <v>6.3681953870884642E-2</v>
      </c>
      <c r="K123" s="39"/>
      <c r="L123" s="40"/>
    </row>
    <row r="124" spans="1:12" s="20" customFormat="1" ht="21.75" customHeight="1" x14ac:dyDescent="0.35">
      <c r="A124" s="1"/>
      <c r="B124" s="21">
        <v>117</v>
      </c>
      <c r="C124" s="98" t="s">
        <v>170</v>
      </c>
      <c r="D124" s="57">
        <v>17861.03</v>
      </c>
      <c r="E124" s="42"/>
      <c r="F124" s="251">
        <v>170.249</v>
      </c>
      <c r="G124" s="251">
        <v>84.150999999999996</v>
      </c>
      <c r="H124" s="254">
        <v>86.097999999999999</v>
      </c>
      <c r="I124" s="43">
        <f t="shared" si="2"/>
        <v>0.95318691027337177</v>
      </c>
      <c r="J124" s="44">
        <f t="shared" si="3"/>
        <v>6.2674009980890108E-2</v>
      </c>
      <c r="K124" s="39"/>
      <c r="L124" s="40"/>
    </row>
    <row r="125" spans="1:12" s="20" customFormat="1" ht="21.75" customHeight="1" x14ac:dyDescent="0.35">
      <c r="A125" s="1"/>
      <c r="B125" s="21">
        <v>118</v>
      </c>
      <c r="C125" s="98" t="s">
        <v>171</v>
      </c>
      <c r="D125" s="57">
        <v>7000.1189999999997</v>
      </c>
      <c r="E125" s="42"/>
      <c r="F125" s="251">
        <v>168.51599999999999</v>
      </c>
      <c r="G125" s="251">
        <v>85.798000000000002</v>
      </c>
      <c r="H125" s="254">
        <v>82.718000000000004</v>
      </c>
      <c r="I125" s="43">
        <f t="shared" si="2"/>
        <v>2.4073305039528612</v>
      </c>
      <c r="J125" s="44">
        <f t="shared" si="3"/>
        <v>6.2036038190765752E-2</v>
      </c>
      <c r="K125" s="39"/>
      <c r="L125" s="40"/>
    </row>
    <row r="126" spans="1:12" s="20" customFormat="1" ht="21.75" customHeight="1" x14ac:dyDescent="0.35">
      <c r="A126" s="1"/>
      <c r="B126" s="21">
        <v>119</v>
      </c>
      <c r="C126" s="98" t="s">
        <v>172</v>
      </c>
      <c r="D126" s="57">
        <v>7044.6360000000004</v>
      </c>
      <c r="E126" s="42"/>
      <c r="F126" s="251">
        <v>160.51900000000001</v>
      </c>
      <c r="G126" s="251">
        <v>77.106999999999999</v>
      </c>
      <c r="H126" s="254">
        <v>83.412000000000006</v>
      </c>
      <c r="I126" s="43">
        <f t="shared" si="2"/>
        <v>2.2785989226412831</v>
      </c>
      <c r="J126" s="44">
        <f t="shared" si="3"/>
        <v>5.9092091043838731E-2</v>
      </c>
      <c r="K126" s="39"/>
      <c r="L126" s="40"/>
    </row>
    <row r="127" spans="1:12" s="20" customFormat="1" ht="21.75" customHeight="1" x14ac:dyDescent="0.35">
      <c r="A127" s="1"/>
      <c r="B127" s="21">
        <v>120</v>
      </c>
      <c r="C127" s="98" t="s">
        <v>282</v>
      </c>
      <c r="D127" s="57">
        <v>11513.1</v>
      </c>
      <c r="E127" s="42"/>
      <c r="F127" s="251">
        <v>156.114</v>
      </c>
      <c r="G127" s="251">
        <v>74.296000000000006</v>
      </c>
      <c r="H127" s="254">
        <v>81.817999999999998</v>
      </c>
      <c r="I127" s="43">
        <f t="shared" si="2"/>
        <v>1.3559684185840477</v>
      </c>
      <c r="J127" s="44">
        <f t="shared" si="3"/>
        <v>5.7470472038935211E-2</v>
      </c>
      <c r="K127" s="39"/>
      <c r="L127" s="40"/>
    </row>
    <row r="128" spans="1:12" s="20" customFormat="1" ht="21.75" customHeight="1" x14ac:dyDescent="0.35">
      <c r="A128" s="1"/>
      <c r="B128" s="21">
        <v>121</v>
      </c>
      <c r="C128" s="98" t="s">
        <v>32</v>
      </c>
      <c r="D128" s="57">
        <v>38041.754000000001</v>
      </c>
      <c r="E128" s="42"/>
      <c r="F128" s="251">
        <v>149.762</v>
      </c>
      <c r="G128" s="251">
        <v>74.787999999999997</v>
      </c>
      <c r="H128" s="254">
        <v>74.974000000000004</v>
      </c>
      <c r="I128" s="43">
        <f t="shared" si="2"/>
        <v>0.39367795712048398</v>
      </c>
      <c r="J128" s="44">
        <f t="shared" si="3"/>
        <v>5.5132101115178744E-2</v>
      </c>
      <c r="K128" s="39"/>
      <c r="L128" s="40"/>
    </row>
    <row r="129" spans="1:12" s="20" customFormat="1" ht="21.75" customHeight="1" x14ac:dyDescent="0.35">
      <c r="A129" s="1"/>
      <c r="B129" s="21">
        <v>122</v>
      </c>
      <c r="C129" s="98" t="s">
        <v>173</v>
      </c>
      <c r="D129" s="57">
        <v>2083.4589999999998</v>
      </c>
      <c r="E129" s="42"/>
      <c r="F129" s="251">
        <v>131.17500000000001</v>
      </c>
      <c r="G129" s="251">
        <v>76.492999999999995</v>
      </c>
      <c r="H129" s="254">
        <v>54.682000000000002</v>
      </c>
      <c r="I129" s="43">
        <f t="shared" si="2"/>
        <v>6.2960202240600855</v>
      </c>
      <c r="J129" s="44">
        <f t="shared" si="3"/>
        <v>4.8289641990515435E-2</v>
      </c>
      <c r="K129" s="39"/>
      <c r="L129" s="40"/>
    </row>
    <row r="130" spans="1:12" s="20" customFormat="1" ht="21.75" customHeight="1" x14ac:dyDescent="0.35">
      <c r="A130" s="1"/>
      <c r="B130" s="21">
        <v>123</v>
      </c>
      <c r="C130" s="98" t="s">
        <v>174</v>
      </c>
      <c r="D130" s="57">
        <v>888.92700000000002</v>
      </c>
      <c r="E130" s="42"/>
      <c r="F130" s="251">
        <v>129.15299999999999</v>
      </c>
      <c r="G130" s="251">
        <v>63.628999999999998</v>
      </c>
      <c r="H130" s="254">
        <v>65.524000000000001</v>
      </c>
      <c r="I130" s="43">
        <f t="shared" si="2"/>
        <v>14.529089565284886</v>
      </c>
      <c r="J130" s="44">
        <f t="shared" si="3"/>
        <v>4.7545280213463229E-2</v>
      </c>
      <c r="K130" s="39"/>
      <c r="L130" s="40"/>
    </row>
    <row r="131" spans="1:12" s="20" customFormat="1" ht="21.75" customHeight="1" x14ac:dyDescent="0.35">
      <c r="A131" s="1"/>
      <c r="B131" s="21">
        <v>124</v>
      </c>
      <c r="C131" s="98" t="s">
        <v>175</v>
      </c>
      <c r="D131" s="57">
        <v>12771.245999999999</v>
      </c>
      <c r="E131" s="42"/>
      <c r="F131" s="251">
        <v>120.642</v>
      </c>
      <c r="G131" s="251">
        <v>49.947000000000003</v>
      </c>
      <c r="H131" s="254">
        <v>70.694999999999993</v>
      </c>
      <c r="I131" s="43">
        <f t="shared" si="2"/>
        <v>0.94463766495453927</v>
      </c>
      <c r="J131" s="44">
        <f t="shared" si="3"/>
        <v>4.4412113505010578E-2</v>
      </c>
      <c r="K131" s="39"/>
      <c r="L131" s="40"/>
    </row>
    <row r="132" spans="1:12" s="20" customFormat="1" ht="21.75" customHeight="1" x14ac:dyDescent="0.35">
      <c r="A132" s="1"/>
      <c r="B132" s="21">
        <v>125</v>
      </c>
      <c r="C132" s="98" t="s">
        <v>176</v>
      </c>
      <c r="D132" s="57">
        <v>290.83199999999999</v>
      </c>
      <c r="E132" s="42"/>
      <c r="F132" s="251">
        <v>117.372</v>
      </c>
      <c r="G132" s="251">
        <v>61.621000000000002</v>
      </c>
      <c r="H132" s="254">
        <v>55.750999999999998</v>
      </c>
      <c r="I132" s="43">
        <f t="shared" si="2"/>
        <v>40.357319689717777</v>
      </c>
      <c r="J132" s="44">
        <f t="shared" si="3"/>
        <v>4.3208323687522594E-2</v>
      </c>
      <c r="K132" s="39"/>
      <c r="L132" s="40"/>
    </row>
    <row r="133" spans="1:12" s="20" customFormat="1" ht="21.75" customHeight="1" x14ac:dyDescent="0.35">
      <c r="A133" s="1"/>
      <c r="B133" s="21">
        <v>126</v>
      </c>
      <c r="C133" s="98" t="s">
        <v>177</v>
      </c>
      <c r="D133" s="57">
        <v>2759.627</v>
      </c>
      <c r="E133" s="42"/>
      <c r="F133" s="251">
        <v>117.218</v>
      </c>
      <c r="G133" s="251">
        <v>67.924999999999997</v>
      </c>
      <c r="H133" s="254">
        <v>49.292999999999999</v>
      </c>
      <c r="I133" s="43">
        <f t="shared" si="2"/>
        <v>4.2476030275106016</v>
      </c>
      <c r="J133" s="44">
        <f t="shared" si="3"/>
        <v>4.3151631445353437E-2</v>
      </c>
      <c r="K133" s="39"/>
      <c r="L133" s="40"/>
    </row>
    <row r="134" spans="1:12" s="20" customFormat="1" ht="21.75" customHeight="1" x14ac:dyDescent="0.35">
      <c r="A134" s="1"/>
      <c r="B134" s="21">
        <v>127</v>
      </c>
      <c r="C134" s="98" t="s">
        <v>178</v>
      </c>
      <c r="D134" s="57">
        <v>973.56</v>
      </c>
      <c r="E134" s="42"/>
      <c r="F134" s="251">
        <v>115.34099999999999</v>
      </c>
      <c r="G134" s="251">
        <v>54.686999999999998</v>
      </c>
      <c r="H134" s="254">
        <v>60.654000000000003</v>
      </c>
      <c r="I134" s="43">
        <f t="shared" si="2"/>
        <v>11.847343769259213</v>
      </c>
      <c r="J134" s="44">
        <f t="shared" si="3"/>
        <v>4.2460648727486484E-2</v>
      </c>
      <c r="K134" s="39"/>
      <c r="L134" s="40"/>
    </row>
    <row r="135" spans="1:12" s="20" customFormat="1" ht="21.75" customHeight="1" x14ac:dyDescent="0.35">
      <c r="A135" s="1"/>
      <c r="B135" s="21">
        <v>128</v>
      </c>
      <c r="C135" s="98" t="s">
        <v>179</v>
      </c>
      <c r="D135" s="57">
        <v>433.28500000000003</v>
      </c>
      <c r="E135" s="42"/>
      <c r="F135" s="251">
        <v>110.64100000000001</v>
      </c>
      <c r="G135" s="251">
        <v>47.981000000000002</v>
      </c>
      <c r="H135" s="254">
        <v>62.66</v>
      </c>
      <c r="I135" s="43">
        <f t="shared" si="2"/>
        <v>25.535386639278997</v>
      </c>
      <c r="J135" s="44">
        <f t="shared" si="3"/>
        <v>4.0730430946999185E-2</v>
      </c>
      <c r="K135" s="39"/>
      <c r="L135" s="40"/>
    </row>
    <row r="136" spans="1:12" s="20" customFormat="1" ht="21.75" customHeight="1" x14ac:dyDescent="0.35">
      <c r="A136" s="1"/>
      <c r="B136" s="21">
        <v>129</v>
      </c>
      <c r="C136" s="98" t="s">
        <v>180</v>
      </c>
      <c r="D136" s="57">
        <v>2303.6970000000001</v>
      </c>
      <c r="E136" s="42"/>
      <c r="F136" s="251">
        <v>110.596</v>
      </c>
      <c r="G136" s="251">
        <v>47.652999999999999</v>
      </c>
      <c r="H136" s="254">
        <v>62.942999999999998</v>
      </c>
      <c r="I136" s="43">
        <f t="shared" si="2"/>
        <v>4.8008049669726525</v>
      </c>
      <c r="J136" s="44">
        <f t="shared" si="3"/>
        <v>4.0713865032079619E-2</v>
      </c>
      <c r="K136" s="39"/>
      <c r="L136" s="40"/>
    </row>
    <row r="137" spans="1:12" s="20" customFormat="1" ht="21.75" customHeight="1" x14ac:dyDescent="0.35">
      <c r="A137" s="1"/>
      <c r="B137" s="21">
        <v>130</v>
      </c>
      <c r="C137" s="98" t="s">
        <v>181</v>
      </c>
      <c r="D137" s="57">
        <v>2494.5300000000002</v>
      </c>
      <c r="E137" s="42"/>
      <c r="F137" s="251">
        <v>107.56100000000001</v>
      </c>
      <c r="G137" s="251">
        <v>49.622999999999998</v>
      </c>
      <c r="H137" s="254">
        <v>57.938000000000002</v>
      </c>
      <c r="I137" s="43">
        <f t="shared" ref="I137:I200" si="4">(F137/D137)*100</f>
        <v>4.3118743811459472</v>
      </c>
      <c r="J137" s="44">
        <f t="shared" ref="J137:J200" si="5">(F137/$F$7)*100</f>
        <v>3.9596586103616008E-2</v>
      </c>
      <c r="K137" s="39"/>
      <c r="L137" s="40"/>
    </row>
    <row r="138" spans="1:12" s="20" customFormat="1" ht="21.75" customHeight="1" x14ac:dyDescent="0.35">
      <c r="A138" s="1"/>
      <c r="B138" s="21">
        <v>131</v>
      </c>
      <c r="C138" s="98" t="s">
        <v>182</v>
      </c>
      <c r="D138" s="57">
        <v>4043.2629999999999</v>
      </c>
      <c r="E138" s="42"/>
      <c r="F138" s="251">
        <v>104.71299999999999</v>
      </c>
      <c r="G138" s="251">
        <v>61.874000000000002</v>
      </c>
      <c r="H138" s="254">
        <v>42.838999999999999</v>
      </c>
      <c r="I138" s="43">
        <f t="shared" si="4"/>
        <v>2.5898142168837395</v>
      </c>
      <c r="J138" s="44">
        <f t="shared" si="5"/>
        <v>3.8548147754929228E-2</v>
      </c>
      <c r="K138" s="39"/>
      <c r="L138" s="40"/>
    </row>
    <row r="139" spans="1:12" s="20" customFormat="1" ht="21.75" customHeight="1" x14ac:dyDescent="0.35">
      <c r="A139" s="1"/>
      <c r="B139" s="21">
        <v>132</v>
      </c>
      <c r="C139" s="98" t="s">
        <v>183</v>
      </c>
      <c r="D139" s="57">
        <v>447.90499999999997</v>
      </c>
      <c r="E139" s="42"/>
      <c r="F139" s="251">
        <v>100.03</v>
      </c>
      <c r="G139" s="251">
        <v>55.493000000000002</v>
      </c>
      <c r="H139" s="254">
        <v>44.536999999999999</v>
      </c>
      <c r="I139" s="43">
        <f t="shared" si="4"/>
        <v>22.332860762884987</v>
      </c>
      <c r="J139" s="44">
        <f t="shared" si="5"/>
        <v>3.6824188208967094E-2</v>
      </c>
      <c r="K139" s="39"/>
      <c r="L139" s="40"/>
    </row>
    <row r="140" spans="1:12" s="20" customFormat="1" ht="21.75" customHeight="1" x14ac:dyDescent="0.35">
      <c r="A140" s="1"/>
      <c r="B140" s="21">
        <v>133</v>
      </c>
      <c r="C140" s="98" t="s">
        <v>184</v>
      </c>
      <c r="D140" s="57">
        <v>36471.769</v>
      </c>
      <c r="E140" s="42"/>
      <c r="F140" s="251">
        <v>98.573999999999998</v>
      </c>
      <c r="G140" s="251">
        <v>49.094999999999999</v>
      </c>
      <c r="H140" s="254">
        <v>49.478999999999999</v>
      </c>
      <c r="I140" s="43">
        <f t="shared" si="4"/>
        <v>0.27027479802254728</v>
      </c>
      <c r="J140" s="44">
        <f t="shared" si="5"/>
        <v>3.6288188828458683E-2</v>
      </c>
      <c r="K140" s="39"/>
      <c r="L140" s="40"/>
    </row>
    <row r="141" spans="1:12" s="20" customFormat="1" ht="21.75" customHeight="1" x14ac:dyDescent="0.35">
      <c r="A141" s="1"/>
      <c r="B141" s="21">
        <v>134</v>
      </c>
      <c r="C141" s="98" t="s">
        <v>185</v>
      </c>
      <c r="D141" s="57">
        <v>4937.3739999999998</v>
      </c>
      <c r="E141" s="42"/>
      <c r="F141" s="251">
        <v>94.447999999999993</v>
      </c>
      <c r="G141" s="251">
        <v>40.591000000000001</v>
      </c>
      <c r="H141" s="254">
        <v>53.856999999999999</v>
      </c>
      <c r="I141" s="43">
        <f t="shared" si="4"/>
        <v>1.9129197018496067</v>
      </c>
      <c r="J141" s="44">
        <f t="shared" si="5"/>
        <v>3.4769278496056419E-2</v>
      </c>
      <c r="K141" s="39"/>
      <c r="L141" s="40"/>
    </row>
    <row r="142" spans="1:12" s="20" customFormat="1" ht="21.75" customHeight="1" x14ac:dyDescent="0.35">
      <c r="A142" s="1"/>
      <c r="B142" s="21">
        <v>135</v>
      </c>
      <c r="C142" s="98" t="s">
        <v>186</v>
      </c>
      <c r="D142" s="57">
        <v>4745.1850000000004</v>
      </c>
      <c r="E142" s="42"/>
      <c r="F142" s="251">
        <v>90.649000000000001</v>
      </c>
      <c r="G142" s="251">
        <v>42.645000000000003</v>
      </c>
      <c r="H142" s="254">
        <v>48.003999999999998</v>
      </c>
      <c r="I142" s="43">
        <f t="shared" si="4"/>
        <v>1.9103364779244643</v>
      </c>
      <c r="J142" s="44">
        <f t="shared" si="5"/>
        <v>3.337074714540296E-2</v>
      </c>
      <c r="K142" s="39"/>
      <c r="L142" s="40"/>
    </row>
    <row r="143" spans="1:12" s="20" customFormat="1" ht="21.75" customHeight="1" x14ac:dyDescent="0.35">
      <c r="A143" s="1"/>
      <c r="B143" s="21">
        <v>136</v>
      </c>
      <c r="C143" s="98" t="s">
        <v>187</v>
      </c>
      <c r="D143" s="57">
        <v>440.37200000000001</v>
      </c>
      <c r="E143" s="42"/>
      <c r="F143" s="251">
        <v>84.948999999999998</v>
      </c>
      <c r="G143" s="251">
        <v>38.963000000000001</v>
      </c>
      <c r="H143" s="254">
        <v>45.985999999999997</v>
      </c>
      <c r="I143" s="43">
        <f t="shared" si="4"/>
        <v>19.290281852615514</v>
      </c>
      <c r="J143" s="44">
        <f t="shared" si="5"/>
        <v>3.1272397922258777E-2</v>
      </c>
      <c r="K143" s="39"/>
      <c r="L143" s="40"/>
    </row>
    <row r="144" spans="1:12" s="20" customFormat="1" ht="21.75" customHeight="1" x14ac:dyDescent="0.35">
      <c r="A144" s="1"/>
      <c r="B144" s="21">
        <v>137</v>
      </c>
      <c r="C144" s="98" t="s">
        <v>188</v>
      </c>
      <c r="D144" s="57">
        <v>172.25899999999999</v>
      </c>
      <c r="E144" s="42"/>
      <c r="F144" s="251">
        <v>83.832999999999998</v>
      </c>
      <c r="G144" s="251">
        <v>43.765000000000001</v>
      </c>
      <c r="H144" s="254">
        <v>40.067999999999998</v>
      </c>
      <c r="I144" s="43">
        <f t="shared" si="4"/>
        <v>48.66683308274169</v>
      </c>
      <c r="J144" s="44">
        <f t="shared" si="5"/>
        <v>3.0861563232253704E-2</v>
      </c>
      <c r="K144" s="39"/>
      <c r="L144" s="40"/>
    </row>
    <row r="145" spans="1:12" s="20" customFormat="1" ht="21.75" customHeight="1" x14ac:dyDescent="0.35">
      <c r="A145" s="1"/>
      <c r="B145" s="21">
        <v>138</v>
      </c>
      <c r="C145" s="98" t="s">
        <v>189</v>
      </c>
      <c r="D145" s="57">
        <v>3461.7339999999999</v>
      </c>
      <c r="E145" s="42"/>
      <c r="F145" s="251">
        <v>81.481999999999999</v>
      </c>
      <c r="G145" s="251">
        <v>44.494</v>
      </c>
      <c r="H145" s="254">
        <v>36.988</v>
      </c>
      <c r="I145" s="43">
        <f t="shared" si="4"/>
        <v>2.3537914813789853</v>
      </c>
      <c r="J145" s="44">
        <f t="shared" si="5"/>
        <v>2.9996086210567395E-2</v>
      </c>
      <c r="K145" s="39"/>
      <c r="L145" s="40"/>
    </row>
    <row r="146" spans="1:12" s="20" customFormat="1" ht="21.75" customHeight="1" x14ac:dyDescent="0.35">
      <c r="A146" s="1"/>
      <c r="B146" s="21">
        <v>139</v>
      </c>
      <c r="C146" s="98" t="s">
        <v>190</v>
      </c>
      <c r="D146" s="57">
        <v>17581.472000000002</v>
      </c>
      <c r="E146" s="42"/>
      <c r="F146" s="251">
        <v>80.421000000000006</v>
      </c>
      <c r="G146" s="251">
        <v>42.304000000000002</v>
      </c>
      <c r="H146" s="254">
        <v>38.116999999999997</v>
      </c>
      <c r="I146" s="43">
        <f t="shared" si="4"/>
        <v>0.45741903749583651</v>
      </c>
      <c r="J146" s="44">
        <f t="shared" si="5"/>
        <v>2.9605498749908452E-2</v>
      </c>
      <c r="K146" s="39"/>
      <c r="L146" s="40"/>
    </row>
    <row r="147" spans="1:12" s="20" customFormat="1" ht="21.75" customHeight="1" x14ac:dyDescent="0.35">
      <c r="A147" s="1"/>
      <c r="B147" s="21">
        <v>140</v>
      </c>
      <c r="C147" s="98" t="s">
        <v>191</v>
      </c>
      <c r="D147" s="57">
        <v>167.29400000000001</v>
      </c>
      <c r="E147" s="42"/>
      <c r="F147" s="251">
        <v>79.846000000000004</v>
      </c>
      <c r="G147" s="251">
        <v>38.661000000000001</v>
      </c>
      <c r="H147" s="254">
        <v>41.185000000000002</v>
      </c>
      <c r="I147" s="43">
        <f t="shared" si="4"/>
        <v>47.72795198871448</v>
      </c>
      <c r="J147" s="44">
        <f t="shared" si="5"/>
        <v>2.9393823170380751E-2</v>
      </c>
      <c r="K147" s="39"/>
      <c r="L147" s="40"/>
    </row>
    <row r="148" spans="1:12" s="20" customFormat="1" ht="21.75" customHeight="1" x14ac:dyDescent="0.35">
      <c r="A148" s="1"/>
      <c r="B148" s="21">
        <v>141</v>
      </c>
      <c r="C148" s="98" t="s">
        <v>192</v>
      </c>
      <c r="D148" s="57">
        <v>3996.7649999999999</v>
      </c>
      <c r="E148" s="42"/>
      <c r="F148" s="251">
        <v>79.034999999999997</v>
      </c>
      <c r="G148" s="251">
        <v>44.451999999999998</v>
      </c>
      <c r="H148" s="254">
        <v>34.582999999999998</v>
      </c>
      <c r="I148" s="43">
        <f t="shared" si="4"/>
        <v>1.9774742823258311</v>
      </c>
      <c r="J148" s="44">
        <f t="shared" si="5"/>
        <v>2.9095268570386027E-2</v>
      </c>
      <c r="K148" s="39"/>
      <c r="L148" s="40"/>
    </row>
    <row r="149" spans="1:12" s="20" customFormat="1" ht="21.75" customHeight="1" x14ac:dyDescent="0.35">
      <c r="A149" s="1"/>
      <c r="B149" s="21">
        <v>142</v>
      </c>
      <c r="C149" s="98" t="s">
        <v>193</v>
      </c>
      <c r="D149" s="57">
        <v>16486.542000000001</v>
      </c>
      <c r="E149" s="42"/>
      <c r="F149" s="251">
        <v>78.649000000000001</v>
      </c>
      <c r="G149" s="251">
        <v>36.270000000000003</v>
      </c>
      <c r="H149" s="254">
        <v>42.378999999999998</v>
      </c>
      <c r="I149" s="43">
        <f t="shared" si="4"/>
        <v>0.47704970514738626</v>
      </c>
      <c r="J149" s="44">
        <f t="shared" si="5"/>
        <v>2.8953169833520469E-2</v>
      </c>
      <c r="K149" s="39"/>
      <c r="L149" s="40"/>
    </row>
    <row r="150" spans="1:12" s="20" customFormat="1" ht="21.75" customHeight="1" x14ac:dyDescent="0.35">
      <c r="A150" s="1"/>
      <c r="B150" s="21">
        <v>143</v>
      </c>
      <c r="C150" s="98" t="s">
        <v>194</v>
      </c>
      <c r="D150" s="57">
        <v>96462.106</v>
      </c>
      <c r="E150" s="42"/>
      <c r="F150" s="251">
        <v>76.103999999999999</v>
      </c>
      <c r="G150" s="251">
        <v>32.017000000000003</v>
      </c>
      <c r="H150" s="254">
        <v>44.087000000000003</v>
      </c>
      <c r="I150" s="43">
        <f t="shared" si="4"/>
        <v>7.8895229594095742E-2</v>
      </c>
      <c r="J150" s="44">
        <f t="shared" si="5"/>
        <v>2.801627531195873E-2</v>
      </c>
      <c r="K150" s="39"/>
      <c r="L150" s="40"/>
    </row>
    <row r="151" spans="1:12" s="20" customFormat="1" ht="21.75" customHeight="1" x14ac:dyDescent="0.35">
      <c r="A151" s="1"/>
      <c r="B151" s="21">
        <v>144</v>
      </c>
      <c r="C151" s="98" t="s">
        <v>57</v>
      </c>
      <c r="D151" s="57">
        <v>54045.42</v>
      </c>
      <c r="E151" s="42"/>
      <c r="F151" s="251">
        <v>75.998000000000005</v>
      </c>
      <c r="G151" s="251">
        <v>34.345999999999997</v>
      </c>
      <c r="H151" s="254">
        <v>41.652000000000001</v>
      </c>
      <c r="I151" s="43">
        <f t="shared" si="4"/>
        <v>0.14061876103470008</v>
      </c>
      <c r="J151" s="44">
        <f t="shared" si="5"/>
        <v>2.7977253379037101E-2</v>
      </c>
      <c r="K151" s="39"/>
      <c r="L151" s="40"/>
    </row>
    <row r="152" spans="1:12" s="20" customFormat="1" ht="21.75" customHeight="1" x14ac:dyDescent="0.35">
      <c r="A152" s="1"/>
      <c r="B152" s="21">
        <v>145</v>
      </c>
      <c r="C152" s="98" t="s">
        <v>195</v>
      </c>
      <c r="D152" s="57">
        <v>266.14999999999998</v>
      </c>
      <c r="E152" s="42"/>
      <c r="F152" s="251">
        <v>74.643000000000001</v>
      </c>
      <c r="G152" s="251">
        <v>40.106000000000002</v>
      </c>
      <c r="H152" s="254">
        <v>34.536999999999999</v>
      </c>
      <c r="I152" s="43">
        <f t="shared" si="4"/>
        <v>28.045463084726663</v>
      </c>
      <c r="J152" s="44">
        <f t="shared" si="5"/>
        <v>2.7478435274237035E-2</v>
      </c>
      <c r="K152" s="39"/>
      <c r="L152" s="40"/>
    </row>
    <row r="153" spans="1:12" s="20" customFormat="1" ht="21.75" customHeight="1" x14ac:dyDescent="0.35">
      <c r="A153" s="1"/>
      <c r="B153" s="21">
        <v>146</v>
      </c>
      <c r="C153" s="98" t="s">
        <v>196</v>
      </c>
      <c r="D153" s="57">
        <v>282.75</v>
      </c>
      <c r="E153" s="42"/>
      <c r="F153" s="251">
        <v>72.537000000000006</v>
      </c>
      <c r="G153" s="251">
        <v>34.552999999999997</v>
      </c>
      <c r="H153" s="254">
        <v>37.984000000000002</v>
      </c>
      <c r="I153" s="43">
        <f t="shared" si="4"/>
        <v>25.654111405835543</v>
      </c>
      <c r="J153" s="44">
        <f t="shared" si="5"/>
        <v>2.6703150456001662E-2</v>
      </c>
      <c r="K153" s="39"/>
      <c r="L153" s="40"/>
    </row>
    <row r="154" spans="1:12" s="20" customFormat="1" ht="21.75" customHeight="1" x14ac:dyDescent="0.35">
      <c r="A154" s="1"/>
      <c r="B154" s="21">
        <v>147</v>
      </c>
      <c r="C154" s="98" t="s">
        <v>197</v>
      </c>
      <c r="D154" s="57">
        <v>627.98699999999997</v>
      </c>
      <c r="E154" s="42"/>
      <c r="F154" s="251">
        <v>70.966999999999999</v>
      </c>
      <c r="G154" s="251">
        <v>42.984999999999999</v>
      </c>
      <c r="H154" s="254">
        <v>27.981999999999999</v>
      </c>
      <c r="I154" s="43">
        <f t="shared" si="4"/>
        <v>11.300711638935201</v>
      </c>
      <c r="J154" s="44">
        <f t="shared" si="5"/>
        <v>2.6125184091030366E-2</v>
      </c>
      <c r="K154" s="39"/>
      <c r="L154" s="40"/>
    </row>
    <row r="155" spans="1:12" s="20" customFormat="1" ht="21.75" customHeight="1" x14ac:dyDescent="0.35">
      <c r="A155" s="1"/>
      <c r="B155" s="21">
        <v>148</v>
      </c>
      <c r="C155" s="98" t="s">
        <v>198</v>
      </c>
      <c r="D155" s="57">
        <v>530.95299999999997</v>
      </c>
      <c r="E155" s="42"/>
      <c r="F155" s="251">
        <v>69.248999999999995</v>
      </c>
      <c r="G155" s="251">
        <v>8.5399999999999991</v>
      </c>
      <c r="H155" s="254">
        <v>60.709000000000003</v>
      </c>
      <c r="I155" s="43">
        <f t="shared" si="4"/>
        <v>13.04239734967125</v>
      </c>
      <c r="J155" s="44">
        <f t="shared" si="5"/>
        <v>2.5492734272545853E-2</v>
      </c>
      <c r="K155" s="39"/>
      <c r="L155" s="40"/>
    </row>
    <row r="156" spans="1:12" s="20" customFormat="1" ht="21.75" customHeight="1" x14ac:dyDescent="0.35">
      <c r="A156" s="1"/>
      <c r="B156" s="21">
        <v>149</v>
      </c>
      <c r="C156" s="98" t="s">
        <v>199</v>
      </c>
      <c r="D156" s="57">
        <v>389.48200000000003</v>
      </c>
      <c r="E156" s="42"/>
      <c r="F156" s="251">
        <v>62.962000000000003</v>
      </c>
      <c r="G156" s="251">
        <v>31.117999999999999</v>
      </c>
      <c r="H156" s="254">
        <v>31.844000000000001</v>
      </c>
      <c r="I156" s="43">
        <f t="shared" si="4"/>
        <v>16.165573762073731</v>
      </c>
      <c r="J156" s="44">
        <f t="shared" si="5"/>
        <v>2.3178291892562094E-2</v>
      </c>
      <c r="K156" s="39"/>
      <c r="L156" s="40"/>
    </row>
    <row r="157" spans="1:12" s="20" customFormat="1" ht="21.75" customHeight="1" x14ac:dyDescent="0.35">
      <c r="A157" s="1"/>
      <c r="B157" s="21">
        <v>150</v>
      </c>
      <c r="C157" s="98" t="s">
        <v>200</v>
      </c>
      <c r="D157" s="57">
        <v>375.55399999999997</v>
      </c>
      <c r="E157" s="42"/>
      <c r="F157" s="251">
        <v>61.646999999999998</v>
      </c>
      <c r="G157" s="251">
        <v>34.694000000000003</v>
      </c>
      <c r="H157" s="254">
        <v>26.952999999999999</v>
      </c>
      <c r="I157" s="43">
        <f t="shared" si="4"/>
        <v>16.414949647720434</v>
      </c>
      <c r="J157" s="44">
        <f t="shared" si="5"/>
        <v>2.2694199045468301E-2</v>
      </c>
      <c r="K157" s="39"/>
      <c r="L157" s="40"/>
    </row>
    <row r="158" spans="1:12" s="20" customFormat="1" ht="21.75" customHeight="1" x14ac:dyDescent="0.35">
      <c r="A158" s="1"/>
      <c r="B158" s="21">
        <v>151</v>
      </c>
      <c r="C158" s="98" t="s">
        <v>201</v>
      </c>
      <c r="D158" s="57">
        <v>390.35300000000001</v>
      </c>
      <c r="E158" s="42"/>
      <c r="F158" s="251">
        <v>59.997999999999998</v>
      </c>
      <c r="G158" s="251">
        <v>29.818000000000001</v>
      </c>
      <c r="H158" s="254">
        <v>30.18</v>
      </c>
      <c r="I158" s="43">
        <f t="shared" si="4"/>
        <v>15.370190571098465</v>
      </c>
      <c r="J158" s="44">
        <f t="shared" si="5"/>
        <v>2.2087150296527115E-2</v>
      </c>
      <c r="K158" s="39"/>
      <c r="L158" s="40"/>
    </row>
    <row r="159" spans="1:12" s="20" customFormat="1" ht="21.75" customHeight="1" x14ac:dyDescent="0.35">
      <c r="A159" s="1"/>
      <c r="B159" s="21">
        <v>152</v>
      </c>
      <c r="C159" s="98" t="s">
        <v>202</v>
      </c>
      <c r="D159" s="57">
        <v>1394.973</v>
      </c>
      <c r="E159" s="42"/>
      <c r="F159" s="251">
        <v>59.249000000000002</v>
      </c>
      <c r="G159" s="251">
        <v>30.135000000000002</v>
      </c>
      <c r="H159" s="254">
        <v>29.114000000000001</v>
      </c>
      <c r="I159" s="43">
        <f t="shared" si="4"/>
        <v>4.2473223496082007</v>
      </c>
      <c r="J159" s="44">
        <f t="shared" si="5"/>
        <v>2.181141984597712E-2</v>
      </c>
      <c r="K159" s="39"/>
      <c r="L159" s="40"/>
    </row>
    <row r="160" spans="1:12" s="20" customFormat="1" ht="21.75" customHeight="1" x14ac:dyDescent="0.35">
      <c r="A160" s="1"/>
      <c r="B160" s="21">
        <v>153</v>
      </c>
      <c r="C160" s="98" t="s">
        <v>203</v>
      </c>
      <c r="D160" s="57">
        <v>11694.718999999999</v>
      </c>
      <c r="E160" s="42"/>
      <c r="F160" s="251">
        <v>57.454999999999998</v>
      </c>
      <c r="G160" s="251">
        <v>27.710999999999999</v>
      </c>
      <c r="H160" s="254">
        <v>29.744</v>
      </c>
      <c r="I160" s="43">
        <f t="shared" si="4"/>
        <v>0.49129012847593861</v>
      </c>
      <c r="J160" s="44">
        <f t="shared" si="5"/>
        <v>2.1150992037850685E-2</v>
      </c>
      <c r="K160" s="39"/>
      <c r="L160" s="40"/>
    </row>
    <row r="161" spans="1:12" s="20" customFormat="1" ht="21.75" customHeight="1" x14ac:dyDescent="0.35">
      <c r="A161" s="1"/>
      <c r="B161" s="21">
        <v>154</v>
      </c>
      <c r="C161" s="98" t="s">
        <v>204</v>
      </c>
      <c r="D161" s="57">
        <v>104.578</v>
      </c>
      <c r="E161" s="42"/>
      <c r="F161" s="251">
        <v>56.744999999999997</v>
      </c>
      <c r="G161" s="251">
        <v>30.004999999999999</v>
      </c>
      <c r="H161" s="254">
        <v>26.74</v>
      </c>
      <c r="I161" s="43">
        <f t="shared" si="4"/>
        <v>54.260934422153795</v>
      </c>
      <c r="J161" s="44">
        <f t="shared" si="5"/>
        <v>2.0889618713564307E-2</v>
      </c>
      <c r="K161" s="39"/>
      <c r="L161" s="40"/>
    </row>
    <row r="162" spans="1:12" s="20" customFormat="1" ht="21.75" customHeight="1" x14ac:dyDescent="0.35">
      <c r="A162" s="1"/>
      <c r="B162" s="21">
        <v>155</v>
      </c>
      <c r="C162" s="98" t="s">
        <v>205</v>
      </c>
      <c r="D162" s="57">
        <v>7813.2150000000001</v>
      </c>
      <c r="E162" s="42"/>
      <c r="F162" s="251">
        <v>54.332000000000001</v>
      </c>
      <c r="G162" s="251">
        <v>23.608000000000001</v>
      </c>
      <c r="H162" s="254">
        <v>30.724</v>
      </c>
      <c r="I162" s="43">
        <f t="shared" si="4"/>
        <v>0.69538595827709848</v>
      </c>
      <c r="J162" s="44">
        <f t="shared" si="5"/>
        <v>2.0001317542433273E-2</v>
      </c>
      <c r="K162" s="39"/>
      <c r="L162" s="40"/>
    </row>
    <row r="163" spans="1:12" s="20" customFormat="1" ht="21.75" customHeight="1" x14ac:dyDescent="0.35">
      <c r="A163" s="1"/>
      <c r="B163" s="21">
        <v>156</v>
      </c>
      <c r="C163" s="98" t="s">
        <v>206</v>
      </c>
      <c r="D163" s="57">
        <v>763.09199999999998</v>
      </c>
      <c r="E163" s="42"/>
      <c r="F163" s="251">
        <v>53.253999999999998</v>
      </c>
      <c r="G163" s="251">
        <v>8.0340000000000007</v>
      </c>
      <c r="H163" s="254">
        <v>45.22</v>
      </c>
      <c r="I163" s="43">
        <f t="shared" si="4"/>
        <v>6.9787129205914882</v>
      </c>
      <c r="J163" s="44">
        <f t="shared" si="5"/>
        <v>1.9604471847249162E-2</v>
      </c>
      <c r="K163" s="39"/>
      <c r="L163" s="40"/>
    </row>
    <row r="164" spans="1:12" s="20" customFormat="1" ht="21.75" customHeight="1" x14ac:dyDescent="0.35">
      <c r="A164" s="1"/>
      <c r="B164" s="21">
        <v>157</v>
      </c>
      <c r="C164" s="98" t="s">
        <v>207</v>
      </c>
      <c r="D164" s="57">
        <v>339.03100000000001</v>
      </c>
      <c r="E164" s="42"/>
      <c r="F164" s="251">
        <v>52.404000000000003</v>
      </c>
      <c r="G164" s="251">
        <v>24.85</v>
      </c>
      <c r="H164" s="254">
        <v>27.553999999999998</v>
      </c>
      <c r="I164" s="43">
        <f t="shared" si="4"/>
        <v>15.456993608254113</v>
      </c>
      <c r="J164" s="44">
        <f t="shared" si="5"/>
        <v>1.9291560120990817E-2</v>
      </c>
      <c r="K164" s="39"/>
      <c r="L164" s="40"/>
    </row>
    <row r="165" spans="1:12" s="20" customFormat="1" ht="21.75" customHeight="1" x14ac:dyDescent="0.35">
      <c r="A165" s="1"/>
      <c r="B165" s="21">
        <v>158</v>
      </c>
      <c r="C165" s="98" t="s">
        <v>208</v>
      </c>
      <c r="D165" s="57">
        <v>15442.905000000001</v>
      </c>
      <c r="E165" s="42"/>
      <c r="F165" s="251">
        <v>52.131</v>
      </c>
      <c r="G165" s="251">
        <v>24.946999999999999</v>
      </c>
      <c r="H165" s="254">
        <v>27.184000000000001</v>
      </c>
      <c r="I165" s="43">
        <f t="shared" si="4"/>
        <v>0.33757249688449159</v>
      </c>
      <c r="J165" s="44">
        <f t="shared" si="5"/>
        <v>1.919106023714549E-2</v>
      </c>
      <c r="K165" s="39"/>
      <c r="L165" s="40"/>
    </row>
    <row r="166" spans="1:12" s="20" customFormat="1" ht="21.75" customHeight="1" x14ac:dyDescent="0.35">
      <c r="A166" s="1"/>
      <c r="B166" s="21">
        <v>159</v>
      </c>
      <c r="C166" s="98" t="s">
        <v>283</v>
      </c>
      <c r="D166" s="57">
        <v>25666.161</v>
      </c>
      <c r="E166" s="42"/>
      <c r="F166" s="251">
        <v>49.393000000000001</v>
      </c>
      <c r="G166" s="251">
        <v>24.817</v>
      </c>
      <c r="H166" s="254">
        <v>24.576000000000001</v>
      </c>
      <c r="I166" s="43">
        <f t="shared" si="4"/>
        <v>0.19244405113799451</v>
      </c>
      <c r="J166" s="44">
        <f t="shared" si="5"/>
        <v>1.818311634715097E-2</v>
      </c>
      <c r="K166" s="39"/>
      <c r="L166" s="40"/>
    </row>
    <row r="167" spans="1:12" s="20" customFormat="1" ht="21.75" customHeight="1" x14ac:dyDescent="0.35">
      <c r="A167" s="1"/>
      <c r="B167" s="21">
        <v>160</v>
      </c>
      <c r="C167" s="98" t="s">
        <v>209</v>
      </c>
      <c r="D167" s="57">
        <v>2880.9169999999999</v>
      </c>
      <c r="E167" s="42"/>
      <c r="F167" s="251">
        <v>49.16</v>
      </c>
      <c r="G167" s="251">
        <v>24.106000000000002</v>
      </c>
      <c r="H167" s="254">
        <v>25.053999999999998</v>
      </c>
      <c r="I167" s="43">
        <f t="shared" si="4"/>
        <v>1.7064011215873278</v>
      </c>
      <c r="J167" s="44">
        <f t="shared" si="5"/>
        <v>1.8097341721011916E-2</v>
      </c>
      <c r="K167" s="39"/>
      <c r="L167" s="40"/>
    </row>
    <row r="168" spans="1:12" s="20" customFormat="1" ht="21.75" customHeight="1" x14ac:dyDescent="0.35">
      <c r="A168" s="1"/>
      <c r="B168" s="21">
        <v>161</v>
      </c>
      <c r="C168" s="98" t="s">
        <v>210</v>
      </c>
      <c r="D168" s="57">
        <v>7169.4549999999999</v>
      </c>
      <c r="E168" s="42"/>
      <c r="F168" s="251">
        <v>48.274999999999999</v>
      </c>
      <c r="G168" s="251">
        <v>17.175999999999998</v>
      </c>
      <c r="H168" s="254">
        <v>31.099</v>
      </c>
      <c r="I168" s="43">
        <f t="shared" si="4"/>
        <v>0.67334267388525348</v>
      </c>
      <c r="J168" s="44">
        <f t="shared" si="5"/>
        <v>1.7771545394260582E-2</v>
      </c>
      <c r="K168" s="39"/>
      <c r="L168" s="40"/>
    </row>
    <row r="169" spans="1:12" s="20" customFormat="1" ht="21.75" customHeight="1" x14ac:dyDescent="0.35">
      <c r="A169" s="1"/>
      <c r="B169" s="21">
        <v>162</v>
      </c>
      <c r="C169" s="98" t="s">
        <v>211</v>
      </c>
      <c r="D169" s="57">
        <v>581.37199999999996</v>
      </c>
      <c r="E169" s="42"/>
      <c r="F169" s="251">
        <v>46.156999999999996</v>
      </c>
      <c r="G169" s="251">
        <v>20.93</v>
      </c>
      <c r="H169" s="254">
        <v>25.227</v>
      </c>
      <c r="I169" s="43">
        <f t="shared" si="4"/>
        <v>7.9393228432053835</v>
      </c>
      <c r="J169" s="44">
        <f t="shared" si="5"/>
        <v>1.6991842998713324E-2</v>
      </c>
      <c r="K169" s="39"/>
      <c r="L169" s="40"/>
    </row>
    <row r="170" spans="1:12" s="20" customFormat="1" ht="21.75" customHeight="1" x14ac:dyDescent="0.35">
      <c r="A170" s="1"/>
      <c r="B170" s="21">
        <v>163</v>
      </c>
      <c r="C170" s="98" t="s">
        <v>212</v>
      </c>
      <c r="D170" s="57">
        <v>77.141999999999996</v>
      </c>
      <c r="E170" s="42"/>
      <c r="F170" s="251">
        <v>45.102000000000004</v>
      </c>
      <c r="G170" s="251">
        <v>22.010999999999999</v>
      </c>
      <c r="H170" s="254">
        <v>23.091000000000008</v>
      </c>
      <c r="I170" s="43">
        <f t="shared" si="4"/>
        <v>58.466205180057564</v>
      </c>
      <c r="J170" s="44">
        <f t="shared" si="5"/>
        <v>1.6603464326710327E-2</v>
      </c>
      <c r="K170" s="39"/>
      <c r="L170" s="40"/>
    </row>
    <row r="171" spans="1:12" s="20" customFormat="1" ht="21.75" customHeight="1" x14ac:dyDescent="0.35">
      <c r="A171" s="1"/>
      <c r="B171" s="21">
        <v>164</v>
      </c>
      <c r="C171" s="98" t="s">
        <v>284</v>
      </c>
      <c r="D171" s="57">
        <v>84.584000000000003</v>
      </c>
      <c r="E171" s="42"/>
      <c r="F171" s="251">
        <v>42.863999999999997</v>
      </c>
      <c r="G171" s="251">
        <v>21.963000000000001</v>
      </c>
      <c r="H171" s="254">
        <v>20.901</v>
      </c>
      <c r="I171" s="43">
        <f t="shared" si="4"/>
        <v>50.676250827579686</v>
      </c>
      <c r="J171" s="44">
        <f t="shared" si="5"/>
        <v>1.5779586158044239E-2</v>
      </c>
      <c r="K171" s="39"/>
      <c r="L171" s="40"/>
    </row>
    <row r="172" spans="1:12" s="20" customFormat="1" ht="21.75" customHeight="1" x14ac:dyDescent="0.35">
      <c r="A172" s="1"/>
      <c r="B172" s="21">
        <v>165</v>
      </c>
      <c r="C172" s="98" t="s">
        <v>213</v>
      </c>
      <c r="D172" s="57">
        <v>6453.5529999999999</v>
      </c>
      <c r="E172" s="42"/>
      <c r="F172" s="251">
        <v>42.616999999999997</v>
      </c>
      <c r="G172" s="251">
        <v>22.347999999999999</v>
      </c>
      <c r="H172" s="254">
        <v>20.268999999999998</v>
      </c>
      <c r="I172" s="43">
        <f t="shared" si="4"/>
        <v>0.66036491836357425</v>
      </c>
      <c r="J172" s="44">
        <f t="shared" si="5"/>
        <v>1.5688657691707995E-2</v>
      </c>
      <c r="K172" s="39"/>
      <c r="L172" s="40"/>
    </row>
    <row r="173" spans="1:12" s="20" customFormat="1" ht="21.75" customHeight="1" x14ac:dyDescent="0.35">
      <c r="A173" s="1"/>
      <c r="B173" s="21">
        <v>166</v>
      </c>
      <c r="C173" s="98" t="s">
        <v>214</v>
      </c>
      <c r="D173" s="57">
        <v>6545.5020000000004</v>
      </c>
      <c r="E173" s="42"/>
      <c r="F173" s="251">
        <v>42.171999999999997</v>
      </c>
      <c r="G173" s="251">
        <v>20.468</v>
      </c>
      <c r="H173" s="254">
        <v>21.704000000000001</v>
      </c>
      <c r="I173" s="43">
        <f t="shared" si="4"/>
        <v>0.64428977334358761</v>
      </c>
      <c r="J173" s="44">
        <f t="shared" si="5"/>
        <v>1.5524839199725684E-2</v>
      </c>
      <c r="K173" s="39"/>
      <c r="L173" s="40"/>
    </row>
    <row r="174" spans="1:12" s="20" customFormat="1" ht="21.75" customHeight="1" x14ac:dyDescent="0.35">
      <c r="A174" s="1"/>
      <c r="B174" s="21">
        <v>167</v>
      </c>
      <c r="C174" s="98" t="s">
        <v>215</v>
      </c>
      <c r="D174" s="57">
        <v>163.42400000000001</v>
      </c>
      <c r="E174" s="42"/>
      <c r="F174" s="251">
        <v>40.883000000000003</v>
      </c>
      <c r="G174" s="251">
        <v>24.07</v>
      </c>
      <c r="H174" s="254">
        <v>16.812999999999999</v>
      </c>
      <c r="I174" s="43">
        <f t="shared" si="4"/>
        <v>25.016521441159195</v>
      </c>
      <c r="J174" s="44">
        <f t="shared" si="5"/>
        <v>1.5050317770140976E-2</v>
      </c>
      <c r="K174" s="39"/>
      <c r="L174" s="40"/>
    </row>
    <row r="175" spans="1:12" s="20" customFormat="1" ht="21.75" customHeight="1" x14ac:dyDescent="0.35">
      <c r="A175" s="1"/>
      <c r="B175" s="21">
        <v>168</v>
      </c>
      <c r="C175" s="98" t="s">
        <v>216</v>
      </c>
      <c r="D175" s="57">
        <v>21323.733</v>
      </c>
      <c r="E175" s="42"/>
      <c r="F175" s="251">
        <v>40.018000000000001</v>
      </c>
      <c r="G175" s="251">
        <v>19.109000000000002</v>
      </c>
      <c r="H175" s="254">
        <v>20.908999999999999</v>
      </c>
      <c r="I175" s="43">
        <f t="shared" si="4"/>
        <v>0.18766882890533287</v>
      </c>
      <c r="J175" s="44">
        <f t="shared" si="5"/>
        <v>1.4731884072242778E-2</v>
      </c>
      <c r="K175" s="39"/>
      <c r="L175" s="40"/>
    </row>
    <row r="176" spans="1:12" s="20" customFormat="1" ht="21.75" customHeight="1" x14ac:dyDescent="0.35">
      <c r="A176" s="1"/>
      <c r="B176" s="21">
        <v>169</v>
      </c>
      <c r="C176" s="98" t="s">
        <v>217</v>
      </c>
      <c r="D176" s="57">
        <v>9746.1170000000002</v>
      </c>
      <c r="E176" s="42"/>
      <c r="F176" s="251">
        <v>38.933</v>
      </c>
      <c r="G176" s="251">
        <v>18.492999999999999</v>
      </c>
      <c r="H176" s="254">
        <v>20.440000000000001</v>
      </c>
      <c r="I176" s="43">
        <f t="shared" si="4"/>
        <v>0.39947191276279564</v>
      </c>
      <c r="J176" s="44">
        <f t="shared" si="5"/>
        <v>1.433246145696007E-2</v>
      </c>
      <c r="K176" s="39"/>
      <c r="L176" s="40"/>
    </row>
    <row r="177" spans="1:12" s="20" customFormat="1" ht="21.75" customHeight="1" x14ac:dyDescent="0.35">
      <c r="A177" s="1"/>
      <c r="B177" s="21">
        <v>170</v>
      </c>
      <c r="C177" s="98" t="s">
        <v>218</v>
      </c>
      <c r="D177" s="57">
        <v>106.31399999999999</v>
      </c>
      <c r="E177" s="42"/>
      <c r="F177" s="251">
        <v>36.531999999999996</v>
      </c>
      <c r="G177" s="251">
        <v>20.236999999999998</v>
      </c>
      <c r="H177" s="254">
        <v>16.295000000000002</v>
      </c>
      <c r="I177" s="43">
        <f t="shared" si="4"/>
        <v>34.362360554583596</v>
      </c>
      <c r="J177" s="44">
        <f t="shared" si="5"/>
        <v>1.3448577863140916E-2</v>
      </c>
      <c r="K177" s="39"/>
      <c r="L177" s="40"/>
    </row>
    <row r="178" spans="1:12" s="20" customFormat="1" ht="21.75" customHeight="1" x14ac:dyDescent="0.35">
      <c r="A178" s="1"/>
      <c r="B178" s="21">
        <v>171</v>
      </c>
      <c r="C178" s="98" t="s">
        <v>219</v>
      </c>
      <c r="D178" s="57">
        <v>3301</v>
      </c>
      <c r="E178" s="42"/>
      <c r="F178" s="251">
        <v>35.734999999999999</v>
      </c>
      <c r="G178" s="251">
        <v>18.718</v>
      </c>
      <c r="H178" s="254">
        <v>17.016999999999999</v>
      </c>
      <c r="I178" s="43">
        <f t="shared" si="4"/>
        <v>1.0825507421993337</v>
      </c>
      <c r="J178" s="44">
        <f t="shared" si="5"/>
        <v>1.3155177103343386E-2</v>
      </c>
      <c r="K178" s="39"/>
      <c r="L178" s="40"/>
    </row>
    <row r="179" spans="1:12" s="20" customFormat="1" ht="21.75" customHeight="1" x14ac:dyDescent="0.35">
      <c r="A179" s="1"/>
      <c r="B179" s="21">
        <v>172</v>
      </c>
      <c r="C179" s="98" t="s">
        <v>220</v>
      </c>
      <c r="D179" s="57">
        <v>26969.307000000001</v>
      </c>
      <c r="E179" s="42"/>
      <c r="F179" s="251">
        <v>34.933999999999997</v>
      </c>
      <c r="G179" s="251">
        <v>15.037000000000001</v>
      </c>
      <c r="H179" s="254">
        <v>19.896999999999998</v>
      </c>
      <c r="I179" s="43">
        <f t="shared" si="4"/>
        <v>0.12953243477854287</v>
      </c>
      <c r="J179" s="44">
        <f t="shared" si="5"/>
        <v>1.2860303817775229E-2</v>
      </c>
      <c r="K179" s="39"/>
      <c r="L179" s="40"/>
    </row>
    <row r="180" spans="1:12" s="20" customFormat="1" ht="21.75" customHeight="1" x14ac:dyDescent="0.35">
      <c r="A180" s="1"/>
      <c r="B180" s="21">
        <v>173</v>
      </c>
      <c r="C180" s="98" t="s">
        <v>221</v>
      </c>
      <c r="D180" s="57">
        <v>287.02499999999998</v>
      </c>
      <c r="E180" s="42"/>
      <c r="F180" s="251">
        <v>34.807000000000002</v>
      </c>
      <c r="G180" s="251">
        <v>19.169</v>
      </c>
      <c r="H180" s="254">
        <v>15.638</v>
      </c>
      <c r="I180" s="43">
        <f t="shared" si="4"/>
        <v>12.126818221409287</v>
      </c>
      <c r="J180" s="44">
        <f t="shared" si="5"/>
        <v>1.281355112455781E-2</v>
      </c>
      <c r="K180" s="39"/>
      <c r="L180" s="40"/>
    </row>
    <row r="181" spans="1:12" s="20" customFormat="1" ht="21.75" customHeight="1" x14ac:dyDescent="0.35">
      <c r="A181" s="1"/>
      <c r="B181" s="21">
        <v>174</v>
      </c>
      <c r="C181" s="98" t="s">
        <v>222</v>
      </c>
      <c r="D181" s="57">
        <v>1148.1300000000001</v>
      </c>
      <c r="E181" s="42"/>
      <c r="F181" s="251">
        <v>32.31</v>
      </c>
      <c r="G181" s="251">
        <v>15.728</v>
      </c>
      <c r="H181" s="254">
        <v>16.582000000000001</v>
      </c>
      <c r="I181" s="43">
        <f t="shared" si="4"/>
        <v>2.8141412557811396</v>
      </c>
      <c r="J181" s="44">
        <f t="shared" si="5"/>
        <v>1.1894326912243595E-2</v>
      </c>
      <c r="K181" s="39"/>
      <c r="L181" s="40"/>
    </row>
    <row r="182" spans="1:12" s="20" customFormat="1" ht="21.75" customHeight="1" x14ac:dyDescent="0.35">
      <c r="A182" s="1"/>
      <c r="B182" s="21">
        <v>175</v>
      </c>
      <c r="C182" s="98" t="s">
        <v>223</v>
      </c>
      <c r="D182" s="57">
        <v>8776.1090000000004</v>
      </c>
      <c r="E182" s="42"/>
      <c r="F182" s="251">
        <v>31.212</v>
      </c>
      <c r="G182" s="251">
        <v>12.268000000000001</v>
      </c>
      <c r="H182" s="254">
        <v>18.943999999999999</v>
      </c>
      <c r="I182" s="43">
        <f t="shared" si="4"/>
        <v>0.35564736035069755</v>
      </c>
      <c r="J182" s="44">
        <f t="shared" si="5"/>
        <v>1.1490118588206345E-2</v>
      </c>
      <c r="K182" s="39"/>
      <c r="L182" s="40"/>
    </row>
    <row r="183" spans="1:12" s="20" customFormat="1" ht="21.75" customHeight="1" x14ac:dyDescent="0.35">
      <c r="A183" s="1"/>
      <c r="B183" s="21">
        <v>176</v>
      </c>
      <c r="C183" s="98" t="s">
        <v>224</v>
      </c>
      <c r="D183" s="57">
        <v>279.28699999999998</v>
      </c>
      <c r="E183" s="42"/>
      <c r="F183" s="251">
        <v>31.204999999999998</v>
      </c>
      <c r="G183" s="251">
        <v>13.414</v>
      </c>
      <c r="H183" s="254">
        <v>17.791</v>
      </c>
      <c r="I183" s="43">
        <f t="shared" si="4"/>
        <v>11.173094343811204</v>
      </c>
      <c r="J183" s="44">
        <f t="shared" si="5"/>
        <v>1.1487541668107748E-2</v>
      </c>
      <c r="K183" s="39"/>
      <c r="L183" s="40"/>
    </row>
    <row r="184" spans="1:12" s="20" customFormat="1" ht="21.75" customHeight="1" x14ac:dyDescent="0.35">
      <c r="A184" s="1"/>
      <c r="B184" s="21">
        <v>177</v>
      </c>
      <c r="C184" s="98" t="s">
        <v>225</v>
      </c>
      <c r="D184" s="57">
        <v>97.117999999999995</v>
      </c>
      <c r="E184" s="42"/>
      <c r="F184" s="251">
        <v>29.207000000000001</v>
      </c>
      <c r="G184" s="251">
        <v>16.181000000000001</v>
      </c>
      <c r="H184" s="254">
        <v>13.026</v>
      </c>
      <c r="I184" s="43">
        <f t="shared" si="4"/>
        <v>30.07372474721473</v>
      </c>
      <c r="J184" s="44">
        <f t="shared" si="5"/>
        <v>1.0752015045679315E-2</v>
      </c>
      <c r="K184" s="39"/>
      <c r="L184" s="40"/>
    </row>
    <row r="185" spans="1:12" s="20" customFormat="1" ht="21.75" customHeight="1" x14ac:dyDescent="0.35">
      <c r="A185" s="1"/>
      <c r="B185" s="21">
        <v>178</v>
      </c>
      <c r="C185" s="98" t="s">
        <v>226</v>
      </c>
      <c r="D185" s="57">
        <v>64.947999999999993</v>
      </c>
      <c r="E185" s="42"/>
      <c r="F185" s="251">
        <v>28.984999999999999</v>
      </c>
      <c r="G185" s="251">
        <v>14.147</v>
      </c>
      <c r="H185" s="254">
        <v>14.837999999999999</v>
      </c>
      <c r="I185" s="43">
        <f t="shared" si="4"/>
        <v>44.628010100388003</v>
      </c>
      <c r="J185" s="44">
        <f t="shared" si="5"/>
        <v>1.0670289865409488E-2</v>
      </c>
      <c r="K185" s="39"/>
      <c r="L185" s="40"/>
    </row>
    <row r="186" spans="1:12" s="20" customFormat="1" ht="21.75" customHeight="1" x14ac:dyDescent="0.35">
      <c r="A186" s="1"/>
      <c r="B186" s="21">
        <v>179</v>
      </c>
      <c r="C186" s="98" t="s">
        <v>227</v>
      </c>
      <c r="D186" s="57">
        <v>1269.6679999999999</v>
      </c>
      <c r="E186" s="42"/>
      <c r="F186" s="251">
        <v>28.849</v>
      </c>
      <c r="G186" s="251">
        <v>12.87</v>
      </c>
      <c r="H186" s="254">
        <v>15.978999999999999</v>
      </c>
      <c r="I186" s="43">
        <f t="shared" si="4"/>
        <v>2.272168787431045</v>
      </c>
      <c r="J186" s="44">
        <f t="shared" si="5"/>
        <v>1.0620223989208154E-2</v>
      </c>
      <c r="K186" s="39"/>
      <c r="L186" s="40"/>
    </row>
    <row r="187" spans="1:12" s="20" customFormat="1" ht="21.75" customHeight="1" x14ac:dyDescent="0.35">
      <c r="A187" s="1"/>
      <c r="B187" s="21">
        <v>180</v>
      </c>
      <c r="C187" s="98" t="s">
        <v>285</v>
      </c>
      <c r="D187" s="57">
        <v>42.387999999999998</v>
      </c>
      <c r="E187" s="42"/>
      <c r="F187" s="251">
        <v>28.26</v>
      </c>
      <c r="G187" s="251">
        <v>14.72</v>
      </c>
      <c r="H187" s="254">
        <v>13.54</v>
      </c>
      <c r="I187" s="43">
        <f t="shared" si="4"/>
        <v>66.669812211003119</v>
      </c>
      <c r="J187" s="44">
        <f t="shared" si="5"/>
        <v>1.0403394569483256E-2</v>
      </c>
      <c r="K187" s="39"/>
      <c r="L187" s="40"/>
    </row>
    <row r="188" spans="1:12" s="20" customFormat="1" ht="21.75" customHeight="1" x14ac:dyDescent="0.35">
      <c r="A188" s="1"/>
      <c r="B188" s="21">
        <v>181</v>
      </c>
      <c r="C188" s="98" t="s">
        <v>228</v>
      </c>
      <c r="D188" s="57">
        <v>1920.922</v>
      </c>
      <c r="E188" s="42"/>
      <c r="F188" s="251">
        <v>26.916</v>
      </c>
      <c r="G188" s="251">
        <v>13.926</v>
      </c>
      <c r="H188" s="254">
        <v>12.99</v>
      </c>
      <c r="I188" s="43">
        <f t="shared" si="4"/>
        <v>1.4012021310599805</v>
      </c>
      <c r="J188" s="44">
        <f t="shared" si="5"/>
        <v>9.9086259105524172E-3</v>
      </c>
      <c r="K188" s="39"/>
      <c r="L188" s="40"/>
    </row>
    <row r="189" spans="1:12" s="20" customFormat="1" ht="21.75" customHeight="1" x14ac:dyDescent="0.35">
      <c r="A189" s="1"/>
      <c r="B189" s="21">
        <v>182</v>
      </c>
      <c r="C189" s="98" t="s">
        <v>229</v>
      </c>
      <c r="D189" s="57">
        <v>38.963999999999999</v>
      </c>
      <c r="E189" s="42"/>
      <c r="F189" s="251">
        <v>26.510999999999999</v>
      </c>
      <c r="G189" s="251">
        <v>13.66</v>
      </c>
      <c r="H189" s="254">
        <v>12.851000000000001</v>
      </c>
      <c r="I189" s="43">
        <f t="shared" si="4"/>
        <v>68.039728980597474</v>
      </c>
      <c r="J189" s="44">
        <f t="shared" si="5"/>
        <v>9.7595326762763817E-3</v>
      </c>
      <c r="K189" s="39"/>
      <c r="L189" s="40"/>
    </row>
    <row r="190" spans="1:12" s="20" customFormat="1" ht="21.75" customHeight="1" x14ac:dyDescent="0.35">
      <c r="A190" s="1"/>
      <c r="B190" s="21">
        <v>183</v>
      </c>
      <c r="C190" s="98" t="s">
        <v>230</v>
      </c>
      <c r="D190" s="57">
        <v>38.018999999999998</v>
      </c>
      <c r="E190" s="42"/>
      <c r="F190" s="251">
        <v>25.466999999999999</v>
      </c>
      <c r="G190" s="251">
        <v>13.061</v>
      </c>
      <c r="H190" s="254">
        <v>12.406000000000001</v>
      </c>
      <c r="I190" s="43">
        <f t="shared" si="4"/>
        <v>66.984928588337411</v>
      </c>
      <c r="J190" s="44">
        <f t="shared" si="5"/>
        <v>9.3752034501426058E-3</v>
      </c>
      <c r="K190" s="39"/>
      <c r="L190" s="40"/>
    </row>
    <row r="191" spans="1:12" s="20" customFormat="1" ht="21.75" customHeight="1" x14ac:dyDescent="0.35">
      <c r="A191" s="1"/>
      <c r="B191" s="21">
        <v>184</v>
      </c>
      <c r="C191" s="98" t="s">
        <v>231</v>
      </c>
      <c r="D191" s="57">
        <v>38.191000000000003</v>
      </c>
      <c r="E191" s="42"/>
      <c r="F191" s="251">
        <v>24.533999999999999</v>
      </c>
      <c r="G191" s="251">
        <v>11.839</v>
      </c>
      <c r="H191" s="254">
        <v>12.695</v>
      </c>
      <c r="I191" s="43">
        <f t="shared" si="4"/>
        <v>64.2402660312639</v>
      </c>
      <c r="J191" s="44">
        <f t="shared" si="5"/>
        <v>9.0317368141437423E-3</v>
      </c>
      <c r="K191" s="39"/>
      <c r="L191" s="40"/>
    </row>
    <row r="192" spans="1:12" s="20" customFormat="1" ht="21.75" customHeight="1" x14ac:dyDescent="0.35">
      <c r="A192" s="1"/>
      <c r="B192" s="21">
        <v>185</v>
      </c>
      <c r="C192" s="98" t="s">
        <v>232</v>
      </c>
      <c r="D192" s="57">
        <v>55.311999999999998</v>
      </c>
      <c r="E192" s="42"/>
      <c r="F192" s="251">
        <v>23.539000000000001</v>
      </c>
      <c r="G192" s="251">
        <v>11.526999999999999</v>
      </c>
      <c r="H192" s="254">
        <v>12.012</v>
      </c>
      <c r="I192" s="43">
        <f t="shared" si="4"/>
        <v>42.556768874746901</v>
      </c>
      <c r="J192" s="44">
        <f t="shared" si="5"/>
        <v>8.6654460287001554E-3</v>
      </c>
      <c r="K192" s="39"/>
      <c r="L192" s="40"/>
    </row>
    <row r="193" spans="1:12" s="20" customFormat="1" ht="21.75" customHeight="1" x14ac:dyDescent="0.35">
      <c r="A193" s="1"/>
      <c r="B193" s="21">
        <v>186</v>
      </c>
      <c r="C193" s="98" t="s">
        <v>233</v>
      </c>
      <c r="D193" s="57">
        <v>2948.279</v>
      </c>
      <c r="E193" s="42"/>
      <c r="F193" s="251">
        <v>23.468</v>
      </c>
      <c r="G193" s="251">
        <v>11.548</v>
      </c>
      <c r="H193" s="254">
        <v>11.92</v>
      </c>
      <c r="I193" s="43">
        <f t="shared" si="4"/>
        <v>0.79598979608103571</v>
      </c>
      <c r="J193" s="44">
        <f t="shared" si="5"/>
        <v>8.6393086962715162E-3</v>
      </c>
      <c r="K193" s="39"/>
      <c r="L193" s="40"/>
    </row>
    <row r="194" spans="1:12" s="20" customFormat="1" ht="21.75" customHeight="1" x14ac:dyDescent="0.35">
      <c r="A194" s="1"/>
      <c r="B194" s="21">
        <v>187</v>
      </c>
      <c r="C194" s="98" t="s">
        <v>234</v>
      </c>
      <c r="D194" s="57">
        <v>57.216000000000001</v>
      </c>
      <c r="E194" s="42"/>
      <c r="F194" s="251">
        <v>21.815000000000001</v>
      </c>
      <c r="G194" s="251">
        <v>12.644</v>
      </c>
      <c r="H194" s="254">
        <v>9.1709999999999994</v>
      </c>
      <c r="I194" s="43">
        <f t="shared" si="4"/>
        <v>38.127446868008953</v>
      </c>
      <c r="J194" s="44">
        <f t="shared" si="5"/>
        <v>8.0307874215597031E-3</v>
      </c>
      <c r="K194" s="39"/>
      <c r="L194" s="40"/>
    </row>
    <row r="195" spans="1:12" s="20" customFormat="1" ht="21.75" customHeight="1" x14ac:dyDescent="0.35">
      <c r="A195" s="1"/>
      <c r="B195" s="21">
        <v>188</v>
      </c>
      <c r="C195" s="98" t="s">
        <v>235</v>
      </c>
      <c r="D195" s="57">
        <v>3225.1669999999999</v>
      </c>
      <c r="E195" s="42"/>
      <c r="F195" s="251">
        <v>21.128</v>
      </c>
      <c r="G195" s="251">
        <v>7.0140000000000002</v>
      </c>
      <c r="H195" s="254">
        <v>14.114000000000001</v>
      </c>
      <c r="I195" s="43">
        <f t="shared" si="4"/>
        <v>0.65509786004879755</v>
      </c>
      <c r="J195" s="44">
        <f t="shared" si="5"/>
        <v>7.7778811204544307E-3</v>
      </c>
      <c r="K195" s="39"/>
      <c r="L195" s="40"/>
    </row>
    <row r="196" spans="1:12" s="20" customFormat="1" ht="21.75" customHeight="1" x14ac:dyDescent="0.35">
      <c r="A196" s="1"/>
      <c r="B196" s="21">
        <v>189</v>
      </c>
      <c r="C196" s="98" t="s">
        <v>236</v>
      </c>
      <c r="D196" s="57">
        <v>30.03</v>
      </c>
      <c r="E196" s="42"/>
      <c r="F196" s="251">
        <v>20.777999999999999</v>
      </c>
      <c r="G196" s="251">
        <v>10.536</v>
      </c>
      <c r="H196" s="254">
        <v>10.242000000000001</v>
      </c>
      <c r="I196" s="43">
        <f t="shared" si="4"/>
        <v>69.19080919080919</v>
      </c>
      <c r="J196" s="44">
        <f t="shared" si="5"/>
        <v>7.6490351155245242E-3</v>
      </c>
      <c r="K196" s="39"/>
      <c r="L196" s="40"/>
    </row>
    <row r="197" spans="1:12" s="20" customFormat="1" ht="21.75" customHeight="1" x14ac:dyDescent="0.35">
      <c r="A197" s="1"/>
      <c r="B197" s="21">
        <v>190</v>
      </c>
      <c r="C197" s="98" t="s">
        <v>237</v>
      </c>
      <c r="D197" s="57">
        <v>62.506</v>
      </c>
      <c r="E197" s="42"/>
      <c r="F197" s="251">
        <v>19.335999999999999</v>
      </c>
      <c r="G197" s="251">
        <v>9.8970000000000002</v>
      </c>
      <c r="H197" s="254">
        <v>9.4390000000000001</v>
      </c>
      <c r="I197" s="43">
        <f t="shared" si="4"/>
        <v>30.934630275493554</v>
      </c>
      <c r="J197" s="44">
        <f t="shared" si="5"/>
        <v>7.1181895752133123E-3</v>
      </c>
      <c r="K197" s="39"/>
      <c r="L197" s="40"/>
    </row>
    <row r="198" spans="1:12" s="20" customFormat="1" ht="21.75" customHeight="1" x14ac:dyDescent="0.35">
      <c r="A198" s="1"/>
      <c r="B198" s="21">
        <v>191</v>
      </c>
      <c r="C198" s="98" t="s">
        <v>238</v>
      </c>
      <c r="D198" s="57">
        <v>11263.076999999999</v>
      </c>
      <c r="E198" s="42"/>
      <c r="F198" s="251">
        <v>18.756</v>
      </c>
      <c r="G198" s="251">
        <v>8.33</v>
      </c>
      <c r="H198" s="254">
        <v>10.426</v>
      </c>
      <c r="I198" s="43">
        <f t="shared" si="4"/>
        <v>0.16652642967814213</v>
      </c>
      <c r="J198" s="44">
        <f t="shared" si="5"/>
        <v>6.9046733384723257E-3</v>
      </c>
      <c r="K198" s="39"/>
      <c r="L198" s="40"/>
    </row>
    <row r="199" spans="1:12" s="20" customFormat="1" ht="21.75" customHeight="1" x14ac:dyDescent="0.35">
      <c r="A199" s="1"/>
      <c r="B199" s="21">
        <v>192</v>
      </c>
      <c r="C199" s="98" t="s">
        <v>239</v>
      </c>
      <c r="D199" s="57">
        <v>3497.1170000000002</v>
      </c>
      <c r="E199" s="42"/>
      <c r="F199" s="251">
        <v>16.100999999999999</v>
      </c>
      <c r="G199" s="251">
        <v>7.1790000000000003</v>
      </c>
      <c r="H199" s="254">
        <v>8.9220000000000006</v>
      </c>
      <c r="I199" s="43">
        <f t="shared" si="4"/>
        <v>0.46040781592380231</v>
      </c>
      <c r="J199" s="44">
        <f t="shared" si="5"/>
        <v>5.9272843582183262E-3</v>
      </c>
      <c r="K199" s="39"/>
      <c r="L199" s="40"/>
    </row>
    <row r="200" spans="1:12" s="20" customFormat="1" ht="21.75" customHeight="1" x14ac:dyDescent="0.35">
      <c r="A200" s="1"/>
      <c r="B200" s="21">
        <v>193</v>
      </c>
      <c r="C200" s="98" t="s">
        <v>240</v>
      </c>
      <c r="D200" s="57">
        <v>782.76599999999996</v>
      </c>
      <c r="E200" s="42"/>
      <c r="F200" s="251">
        <v>15.699</v>
      </c>
      <c r="G200" s="251">
        <v>7.3010000000000002</v>
      </c>
      <c r="H200" s="254">
        <v>8.3979999999999997</v>
      </c>
      <c r="I200" s="43">
        <f t="shared" si="4"/>
        <v>2.0055802117107797</v>
      </c>
      <c r="J200" s="44">
        <f t="shared" si="5"/>
        <v>5.7792955182702629E-3</v>
      </c>
      <c r="K200" s="39"/>
      <c r="L200" s="40"/>
    </row>
    <row r="201" spans="1:12" s="20" customFormat="1" ht="21.75" customHeight="1" x14ac:dyDescent="0.35">
      <c r="A201" s="1"/>
      <c r="B201" s="21">
        <v>194</v>
      </c>
      <c r="C201" s="98" t="s">
        <v>241</v>
      </c>
      <c r="D201" s="57">
        <v>549.93499999999995</v>
      </c>
      <c r="E201" s="42"/>
      <c r="F201" s="251">
        <v>15.664</v>
      </c>
      <c r="G201" s="251">
        <v>7.742</v>
      </c>
      <c r="H201" s="254">
        <v>7.9219999999999997</v>
      </c>
      <c r="I201" s="43">
        <f t="shared" ref="I201:I239" si="6">(F201/D201)*100</f>
        <v>2.8483366216007346</v>
      </c>
      <c r="J201" s="44">
        <f t="shared" ref="J201:J239" si="7">(F201/$F$7)*100</f>
        <v>5.7664109177772722E-3</v>
      </c>
      <c r="K201" s="39"/>
      <c r="L201" s="40"/>
    </row>
    <row r="202" spans="1:12" s="20" customFormat="1" ht="21.75" customHeight="1" x14ac:dyDescent="0.35">
      <c r="A202" s="1"/>
      <c r="B202" s="21">
        <v>195</v>
      </c>
      <c r="C202" s="98" t="s">
        <v>242</v>
      </c>
      <c r="D202" s="57">
        <v>25.978999999999999</v>
      </c>
      <c r="E202" s="42"/>
      <c r="F202" s="251">
        <v>15.484</v>
      </c>
      <c r="G202" s="251">
        <v>7.99</v>
      </c>
      <c r="H202" s="254">
        <v>7.4939999999999998</v>
      </c>
      <c r="I202" s="43">
        <f t="shared" si="6"/>
        <v>59.601986219638938</v>
      </c>
      <c r="J202" s="44">
        <f t="shared" si="7"/>
        <v>5.7001472580990352E-3</v>
      </c>
      <c r="K202" s="39"/>
      <c r="L202" s="40"/>
    </row>
    <row r="203" spans="1:12" s="20" customFormat="1" ht="21.75" customHeight="1" x14ac:dyDescent="0.35">
      <c r="A203" s="1"/>
      <c r="B203" s="21">
        <v>196</v>
      </c>
      <c r="C203" s="98" t="s">
        <v>243</v>
      </c>
      <c r="D203" s="57">
        <v>889.95299999999997</v>
      </c>
      <c r="E203" s="42"/>
      <c r="F203" s="251">
        <v>14.038</v>
      </c>
      <c r="G203" s="251">
        <v>6.4619999999999997</v>
      </c>
      <c r="H203" s="254">
        <v>7.5759999999999996</v>
      </c>
      <c r="I203" s="43">
        <f t="shared" si="6"/>
        <v>1.5773866709815014</v>
      </c>
      <c r="J203" s="44">
        <f t="shared" si="7"/>
        <v>5.1678291920171952E-3</v>
      </c>
      <c r="K203" s="39"/>
      <c r="L203" s="40"/>
    </row>
    <row r="204" spans="1:12" s="20" customFormat="1" ht="21.75" customHeight="1" x14ac:dyDescent="0.35">
      <c r="A204" s="1"/>
      <c r="B204" s="21">
        <v>197</v>
      </c>
      <c r="C204" s="98" t="s">
        <v>244</v>
      </c>
      <c r="D204" s="57">
        <v>97.739000000000004</v>
      </c>
      <c r="E204" s="42"/>
      <c r="F204" s="251">
        <v>12.926</v>
      </c>
      <c r="G204" s="251">
        <v>3.8769999999999998</v>
      </c>
      <c r="H204" s="254">
        <v>9.0489999999999995</v>
      </c>
      <c r="I204" s="43">
        <f t="shared" si="6"/>
        <v>13.225017649044904</v>
      </c>
      <c r="J204" s="44">
        <f t="shared" si="7"/>
        <v>4.7584670277827515E-3</v>
      </c>
      <c r="K204" s="39"/>
      <c r="L204" s="40"/>
    </row>
    <row r="205" spans="1:12" s="20" customFormat="1" ht="21.75" customHeight="1" x14ac:dyDescent="0.35">
      <c r="A205" s="1"/>
      <c r="B205" s="21">
        <v>198</v>
      </c>
      <c r="C205" s="98" t="s">
        <v>245</v>
      </c>
      <c r="D205" s="57">
        <v>850.88599999999997</v>
      </c>
      <c r="E205" s="42"/>
      <c r="F205" s="251">
        <v>12.504</v>
      </c>
      <c r="G205" s="251">
        <v>6.4569999999999999</v>
      </c>
      <c r="H205" s="254">
        <v>6.0469999999999997</v>
      </c>
      <c r="I205" s="43">
        <f t="shared" si="6"/>
        <v>1.4695270576787018</v>
      </c>
      <c r="J205" s="44">
        <f t="shared" si="7"/>
        <v>4.6031155589815508E-3</v>
      </c>
      <c r="K205" s="39"/>
      <c r="L205" s="40"/>
    </row>
    <row r="206" spans="1:12" s="20" customFormat="1" ht="21.75" customHeight="1" x14ac:dyDescent="0.35">
      <c r="A206" s="1"/>
      <c r="B206" s="21">
        <v>199</v>
      </c>
      <c r="C206" s="98" t="s">
        <v>246</v>
      </c>
      <c r="D206" s="57">
        <v>33.701000000000001</v>
      </c>
      <c r="E206" s="42"/>
      <c r="F206" s="251">
        <v>11.172000000000001</v>
      </c>
      <c r="G206" s="251">
        <v>5.5259999999999998</v>
      </c>
      <c r="H206" s="254">
        <v>5.6459999999999999</v>
      </c>
      <c r="I206" s="43">
        <f t="shared" si="6"/>
        <v>33.150351621613602</v>
      </c>
      <c r="J206" s="44">
        <f t="shared" si="7"/>
        <v>4.1127644773625953E-3</v>
      </c>
      <c r="K206" s="39"/>
      <c r="L206" s="40"/>
    </row>
    <row r="207" spans="1:12" s="20" customFormat="1" ht="21.75" customHeight="1" x14ac:dyDescent="0.35">
      <c r="A207" s="1"/>
      <c r="B207" s="21">
        <v>200</v>
      </c>
      <c r="C207" s="98" t="s">
        <v>247</v>
      </c>
      <c r="D207" s="57">
        <v>1293.1189999999999</v>
      </c>
      <c r="E207" s="42"/>
      <c r="F207" s="251">
        <v>8.4169999999999998</v>
      </c>
      <c r="G207" s="251">
        <v>3.331</v>
      </c>
      <c r="H207" s="254">
        <v>5.0860000000000003</v>
      </c>
      <c r="I207" s="43">
        <f t="shared" si="6"/>
        <v>0.65090683842708985</v>
      </c>
      <c r="J207" s="44">
        <f t="shared" si="7"/>
        <v>3.0985623528429073E-3</v>
      </c>
      <c r="K207" s="39"/>
      <c r="L207" s="40"/>
    </row>
    <row r="208" spans="1:12" s="20" customFormat="1" ht="21.75" customHeight="1" x14ac:dyDescent="0.35">
      <c r="A208" s="1"/>
      <c r="B208" s="21">
        <v>201</v>
      </c>
      <c r="C208" s="98" t="s">
        <v>248</v>
      </c>
      <c r="D208" s="57">
        <v>182.79</v>
      </c>
      <c r="E208" s="42"/>
      <c r="F208" s="251">
        <v>8.3829999999999991</v>
      </c>
      <c r="G208" s="251">
        <v>4.3570000000000002</v>
      </c>
      <c r="H208" s="254">
        <v>4.0259999999999998</v>
      </c>
      <c r="I208" s="43">
        <f t="shared" si="6"/>
        <v>4.5861370972153832</v>
      </c>
      <c r="J208" s="44">
        <f t="shared" si="7"/>
        <v>3.0860458837925729E-3</v>
      </c>
      <c r="K208" s="39"/>
      <c r="L208" s="40"/>
    </row>
    <row r="209" spans="1:12" s="20" customFormat="1" ht="21.75" customHeight="1" x14ac:dyDescent="0.35">
      <c r="A209" s="1"/>
      <c r="B209" s="21">
        <v>202</v>
      </c>
      <c r="C209" s="98" t="s">
        <v>249</v>
      </c>
      <c r="D209" s="57">
        <v>71.808000000000007</v>
      </c>
      <c r="E209" s="42"/>
      <c r="F209" s="251">
        <v>8.2639999999999993</v>
      </c>
      <c r="G209" s="251">
        <v>3.9609999999999999</v>
      </c>
      <c r="H209" s="254">
        <v>4.3029999999999999</v>
      </c>
      <c r="I209" s="43">
        <f t="shared" si="6"/>
        <v>11.508467023172903</v>
      </c>
      <c r="J209" s="44">
        <f t="shared" si="7"/>
        <v>3.0422382421164051E-3</v>
      </c>
      <c r="K209" s="39"/>
      <c r="L209" s="40"/>
    </row>
    <row r="210" spans="1:12" s="20" customFormat="1" ht="21.75" customHeight="1" x14ac:dyDescent="0.35">
      <c r="A210" s="1"/>
      <c r="B210" s="21">
        <v>203</v>
      </c>
      <c r="C210" s="98" t="s">
        <v>250</v>
      </c>
      <c r="D210" s="57">
        <v>52.823</v>
      </c>
      <c r="E210" s="42"/>
      <c r="F210" s="251">
        <v>7.5869999999999997</v>
      </c>
      <c r="G210" s="251">
        <v>3.5950000000000002</v>
      </c>
      <c r="H210" s="254">
        <v>3.992</v>
      </c>
      <c r="I210" s="43">
        <f t="shared" si="6"/>
        <v>14.363061545160253</v>
      </c>
      <c r="J210" s="44">
        <f t="shared" si="7"/>
        <v>2.7930132554377018E-3</v>
      </c>
      <c r="K210" s="39"/>
      <c r="L210" s="40"/>
    </row>
    <row r="211" spans="1:12" s="20" customFormat="1" ht="21.75" customHeight="1" x14ac:dyDescent="0.35">
      <c r="A211" s="1"/>
      <c r="B211" s="21">
        <v>204</v>
      </c>
      <c r="C211" s="98" t="s">
        <v>251</v>
      </c>
      <c r="D211" s="57">
        <v>112.003</v>
      </c>
      <c r="E211" s="42"/>
      <c r="F211" s="251">
        <v>7.1239999999999997</v>
      </c>
      <c r="G211" s="251">
        <v>3.5880000000000001</v>
      </c>
      <c r="H211" s="254">
        <v>3.536</v>
      </c>
      <c r="I211" s="43">
        <f t="shared" si="6"/>
        <v>6.360543914002303</v>
      </c>
      <c r="J211" s="44">
        <f t="shared" si="7"/>
        <v>2.6225683974875694E-3</v>
      </c>
      <c r="K211" s="39"/>
      <c r="L211" s="40"/>
    </row>
    <row r="212" spans="1:12" s="20" customFormat="1" ht="21.75" customHeight="1" x14ac:dyDescent="0.35">
      <c r="A212" s="1"/>
      <c r="B212" s="21">
        <v>205</v>
      </c>
      <c r="C212" s="98" t="s">
        <v>252</v>
      </c>
      <c r="D212" s="57">
        <v>2125.268</v>
      </c>
      <c r="E212" s="42"/>
      <c r="F212" s="251">
        <v>6.9279999999999999</v>
      </c>
      <c r="G212" s="251">
        <v>3.177</v>
      </c>
      <c r="H212" s="254">
        <v>3.7509999999999999</v>
      </c>
      <c r="I212" s="43">
        <f t="shared" si="6"/>
        <v>0.32598241727631527</v>
      </c>
      <c r="J212" s="44">
        <f t="shared" si="7"/>
        <v>2.5504146347268219E-3</v>
      </c>
      <c r="K212" s="39"/>
      <c r="L212" s="40"/>
    </row>
    <row r="213" spans="1:12" s="20" customFormat="1" ht="21.75" customHeight="1" x14ac:dyDescent="0.35">
      <c r="A213" s="1"/>
      <c r="B213" s="21">
        <v>206</v>
      </c>
      <c r="C213" s="98" t="s">
        <v>253</v>
      </c>
      <c r="D213" s="57">
        <v>48.677999999999997</v>
      </c>
      <c r="E213" s="42"/>
      <c r="F213" s="251">
        <v>6.4539999999999997</v>
      </c>
      <c r="G213" s="251">
        <v>3.1669999999999998</v>
      </c>
      <c r="H213" s="254">
        <v>3.2869999999999999</v>
      </c>
      <c r="I213" s="43">
        <f t="shared" si="6"/>
        <v>13.258556226632153</v>
      </c>
      <c r="J213" s="44">
        <f t="shared" si="7"/>
        <v>2.3759203309074639E-3</v>
      </c>
      <c r="K213" s="39"/>
      <c r="L213" s="40"/>
    </row>
    <row r="214" spans="1:12" s="20" customFormat="1" ht="21.75" customHeight="1" x14ac:dyDescent="0.35">
      <c r="A214" s="1"/>
      <c r="B214" s="21">
        <v>207</v>
      </c>
      <c r="C214" s="98" t="s">
        <v>254</v>
      </c>
      <c r="D214" s="57">
        <v>56.671999999999997</v>
      </c>
      <c r="E214" s="42"/>
      <c r="F214" s="251">
        <v>5.69</v>
      </c>
      <c r="G214" s="251">
        <v>1.948</v>
      </c>
      <c r="H214" s="254">
        <v>3.742</v>
      </c>
      <c r="I214" s="43">
        <f t="shared" si="6"/>
        <v>10.040231507622813</v>
      </c>
      <c r="J214" s="44">
        <f t="shared" si="7"/>
        <v>2.0946679087176122E-3</v>
      </c>
      <c r="K214" s="39"/>
      <c r="L214" s="40"/>
    </row>
    <row r="215" spans="1:12" s="20" customFormat="1" ht="21.75" customHeight="1" x14ac:dyDescent="0.35">
      <c r="A215" s="1"/>
      <c r="B215" s="21">
        <v>208</v>
      </c>
      <c r="C215" s="98" t="s">
        <v>255</v>
      </c>
      <c r="D215" s="57">
        <v>14.869</v>
      </c>
      <c r="E215" s="42"/>
      <c r="F215" s="251">
        <v>5.6790000000000003</v>
      </c>
      <c r="G215" s="251">
        <v>2.9849999999999999</v>
      </c>
      <c r="H215" s="254">
        <v>2.694</v>
      </c>
      <c r="I215" s="43">
        <f t="shared" si="6"/>
        <v>38.193557065034639</v>
      </c>
      <c r="J215" s="44">
        <f t="shared" si="7"/>
        <v>2.0906184628483866E-3</v>
      </c>
      <c r="K215" s="39"/>
      <c r="L215" s="40"/>
    </row>
    <row r="216" spans="1:12" s="20" customFormat="1" ht="21.75" customHeight="1" x14ac:dyDescent="0.35">
      <c r="A216" s="1"/>
      <c r="B216" s="21">
        <v>209</v>
      </c>
      <c r="C216" s="98" t="s">
        <v>256</v>
      </c>
      <c r="D216" s="57">
        <v>33.86</v>
      </c>
      <c r="E216" s="42"/>
      <c r="F216" s="251">
        <v>5.5069999999999997</v>
      </c>
      <c r="G216" s="251">
        <v>2.5710000000000002</v>
      </c>
      <c r="H216" s="254">
        <v>2.9359999999999999</v>
      </c>
      <c r="I216" s="43">
        <f t="shared" si="6"/>
        <v>16.264028352037801</v>
      </c>
      <c r="J216" s="44">
        <f t="shared" si="7"/>
        <v>2.0272998547114043E-3</v>
      </c>
      <c r="K216" s="39"/>
      <c r="L216" s="40"/>
    </row>
    <row r="217" spans="1:12" s="20" customFormat="1" ht="21.75" customHeight="1" x14ac:dyDescent="0.35">
      <c r="A217" s="1"/>
      <c r="B217" s="21">
        <v>210</v>
      </c>
      <c r="C217" s="98" t="s">
        <v>257</v>
      </c>
      <c r="D217" s="57">
        <v>582.46299999999997</v>
      </c>
      <c r="E217" s="42"/>
      <c r="F217" s="251">
        <v>5.3840000000000003</v>
      </c>
      <c r="G217" s="251">
        <v>2.2029999999999998</v>
      </c>
      <c r="H217" s="254">
        <v>3.181</v>
      </c>
      <c r="I217" s="43">
        <f t="shared" si="6"/>
        <v>0.92435055960636148</v>
      </c>
      <c r="J217" s="44">
        <f t="shared" si="7"/>
        <v>1.9820196872646087E-3</v>
      </c>
      <c r="K217" s="39"/>
      <c r="L217" s="40"/>
    </row>
    <row r="218" spans="1:12" s="20" customFormat="1" ht="21.75" customHeight="1" x14ac:dyDescent="0.35">
      <c r="A218" s="1"/>
      <c r="B218" s="21">
        <v>211</v>
      </c>
      <c r="C218" s="98" t="s">
        <v>258</v>
      </c>
      <c r="D218" s="57">
        <v>18.007999999999999</v>
      </c>
      <c r="E218" s="42"/>
      <c r="F218" s="251">
        <v>5.0659999999999998</v>
      </c>
      <c r="G218" s="251">
        <v>2.1909999999999998</v>
      </c>
      <c r="H218" s="254">
        <v>2.875</v>
      </c>
      <c r="I218" s="43">
        <f t="shared" si="6"/>
        <v>28.131941359395825</v>
      </c>
      <c r="J218" s="44">
        <f t="shared" si="7"/>
        <v>1.8649538884997229E-3</v>
      </c>
      <c r="K218" s="39"/>
      <c r="L218" s="40"/>
    </row>
    <row r="219" spans="1:12" s="20" customFormat="1" ht="21.75" customHeight="1" x14ac:dyDescent="0.35">
      <c r="A219" s="1"/>
      <c r="B219" s="21">
        <v>212</v>
      </c>
      <c r="C219" s="98" t="s">
        <v>259</v>
      </c>
      <c r="D219" s="57">
        <v>11333.483</v>
      </c>
      <c r="E219" s="42"/>
      <c r="F219" s="251">
        <v>4.8860000000000001</v>
      </c>
      <c r="G219" s="251">
        <v>2.7890000000000001</v>
      </c>
      <c r="H219" s="254">
        <v>2.097</v>
      </c>
      <c r="I219" s="43">
        <f t="shared" si="6"/>
        <v>4.3111195384508007E-2</v>
      </c>
      <c r="J219" s="44">
        <f t="shared" si="7"/>
        <v>1.7986902288214858E-3</v>
      </c>
      <c r="K219" s="39"/>
      <c r="L219" s="40"/>
    </row>
    <row r="220" spans="1:12" s="20" customFormat="1" ht="21.75" customHeight="1" x14ac:dyDescent="0.35">
      <c r="A220" s="1"/>
      <c r="B220" s="21">
        <v>213</v>
      </c>
      <c r="C220" s="98" t="s">
        <v>260</v>
      </c>
      <c r="D220" s="57">
        <v>110.589</v>
      </c>
      <c r="E220" s="42"/>
      <c r="F220" s="251">
        <v>4.6920000000000002</v>
      </c>
      <c r="G220" s="251">
        <v>2.294</v>
      </c>
      <c r="H220" s="254">
        <v>2.3980000000000001</v>
      </c>
      <c r="I220" s="43">
        <f t="shared" si="6"/>
        <v>4.2427366193744414</v>
      </c>
      <c r="J220" s="44">
        <f t="shared" si="7"/>
        <v>1.7272727289460521E-3</v>
      </c>
      <c r="K220" s="39"/>
      <c r="L220" s="40"/>
    </row>
    <row r="221" spans="1:12" s="20" customFormat="1" ht="21.75" customHeight="1" x14ac:dyDescent="0.35">
      <c r="A221" s="1"/>
      <c r="B221" s="21">
        <v>214</v>
      </c>
      <c r="C221" s="98" t="s">
        <v>261</v>
      </c>
      <c r="D221" s="57">
        <v>197.09700000000001</v>
      </c>
      <c r="E221" s="42"/>
      <c r="F221" s="251">
        <v>4.0350000000000001</v>
      </c>
      <c r="G221" s="251">
        <v>1.9970000000000001</v>
      </c>
      <c r="H221" s="254">
        <v>2.0379999999999998</v>
      </c>
      <c r="I221" s="43">
        <f t="shared" si="6"/>
        <v>2.0472153305225347</v>
      </c>
      <c r="J221" s="44">
        <f t="shared" si="7"/>
        <v>1.4854103711204861E-3</v>
      </c>
      <c r="K221" s="39"/>
      <c r="L221" s="40"/>
    </row>
    <row r="222" spans="1:12" s="20" customFormat="1" ht="21.75" customHeight="1" x14ac:dyDescent="0.35">
      <c r="A222" s="1"/>
      <c r="B222" s="21">
        <v>215</v>
      </c>
      <c r="C222" s="98" t="s">
        <v>262</v>
      </c>
      <c r="D222" s="57">
        <v>104.494</v>
      </c>
      <c r="E222" s="42"/>
      <c r="F222" s="251">
        <v>3.7519999999999998</v>
      </c>
      <c r="G222" s="251">
        <v>1.704</v>
      </c>
      <c r="H222" s="254">
        <v>2.048</v>
      </c>
      <c r="I222" s="43">
        <f t="shared" si="6"/>
        <v>3.5906367829731849</v>
      </c>
      <c r="J222" s="44">
        <f t="shared" si="7"/>
        <v>1.3812291728485906E-3</v>
      </c>
      <c r="K222" s="39"/>
      <c r="L222" s="40"/>
    </row>
    <row r="223" spans="1:12" s="20" customFormat="1" ht="21.75" customHeight="1" x14ac:dyDescent="0.35">
      <c r="A223" s="1"/>
      <c r="B223" s="21">
        <v>216</v>
      </c>
      <c r="C223" s="98" t="s">
        <v>263</v>
      </c>
      <c r="D223" s="57">
        <v>17.547999999999998</v>
      </c>
      <c r="E223" s="42"/>
      <c r="F223" s="251">
        <v>3.4910000000000001</v>
      </c>
      <c r="G223" s="251">
        <v>1.7430000000000001</v>
      </c>
      <c r="H223" s="254">
        <v>1.748</v>
      </c>
      <c r="I223" s="43">
        <f t="shared" si="6"/>
        <v>19.894005014816507</v>
      </c>
      <c r="J223" s="44">
        <f t="shared" si="7"/>
        <v>1.2851468663151468E-3</v>
      </c>
      <c r="K223" s="39"/>
      <c r="L223" s="40"/>
    </row>
    <row r="224" spans="1:12" s="20" customFormat="1" ht="21.75" customHeight="1" x14ac:dyDescent="0.35">
      <c r="A224" s="1"/>
      <c r="B224" s="21">
        <v>217</v>
      </c>
      <c r="C224" s="98" t="s">
        <v>264</v>
      </c>
      <c r="D224" s="57">
        <v>58.790999999999997</v>
      </c>
      <c r="E224" s="42"/>
      <c r="F224" s="251">
        <v>3.2959999999999998</v>
      </c>
      <c r="G224" s="251">
        <v>1.2769999999999999</v>
      </c>
      <c r="H224" s="254">
        <v>2.0190000000000001</v>
      </c>
      <c r="I224" s="43">
        <f t="shared" si="6"/>
        <v>5.6063002840570837</v>
      </c>
      <c r="J224" s="44">
        <f t="shared" si="7"/>
        <v>1.2133612349970561E-3</v>
      </c>
      <c r="K224" s="39"/>
      <c r="L224" s="40"/>
    </row>
    <row r="225" spans="1:12" s="20" customFormat="1" ht="21.75" customHeight="1" x14ac:dyDescent="0.35">
      <c r="A225" s="1"/>
      <c r="B225" s="21">
        <v>218</v>
      </c>
      <c r="C225" s="98" t="s">
        <v>265</v>
      </c>
      <c r="D225" s="57">
        <v>299.88200000000001</v>
      </c>
      <c r="E225" s="42"/>
      <c r="F225" s="251">
        <v>3.2450000000000001</v>
      </c>
      <c r="G225" s="251">
        <v>1.633</v>
      </c>
      <c r="H225" s="254">
        <v>1.6120000000000001</v>
      </c>
      <c r="I225" s="43">
        <f t="shared" si="6"/>
        <v>1.0820922896339227</v>
      </c>
      <c r="J225" s="44">
        <f t="shared" si="7"/>
        <v>1.1945865314215557E-3</v>
      </c>
      <c r="K225" s="39"/>
      <c r="L225" s="40"/>
    </row>
    <row r="226" spans="1:12" s="20" customFormat="1" ht="21.75" customHeight="1" x14ac:dyDescent="0.35">
      <c r="A226" s="1"/>
      <c r="B226" s="21">
        <v>219</v>
      </c>
      <c r="C226" s="98" t="s">
        <v>266</v>
      </c>
      <c r="D226" s="57">
        <v>117.60599999999999</v>
      </c>
      <c r="E226" s="42"/>
      <c r="F226" s="251">
        <v>3.0219999999999998</v>
      </c>
      <c r="G226" s="251">
        <v>1.4279999999999999</v>
      </c>
      <c r="H226" s="254">
        <v>1.5940000000000001</v>
      </c>
      <c r="I226" s="43">
        <f t="shared" si="6"/>
        <v>2.5695967892794584</v>
      </c>
      <c r="J226" s="44">
        <f t="shared" si="7"/>
        <v>1.1124932197090725E-3</v>
      </c>
      <c r="K226" s="39"/>
      <c r="L226" s="40"/>
    </row>
    <row r="227" spans="1:12" s="20" customFormat="1" ht="21.75" customHeight="1" x14ac:dyDescent="0.35">
      <c r="A227" s="1"/>
      <c r="B227" s="21">
        <v>220</v>
      </c>
      <c r="C227" s="98" t="s">
        <v>286</v>
      </c>
      <c r="D227" s="57">
        <v>113.815</v>
      </c>
      <c r="E227" s="42"/>
      <c r="F227" s="251">
        <v>2.819</v>
      </c>
      <c r="G227" s="251">
        <v>1.3109999999999999</v>
      </c>
      <c r="H227" s="254">
        <v>1.508</v>
      </c>
      <c r="I227" s="43">
        <f t="shared" si="6"/>
        <v>2.4768264288538417</v>
      </c>
      <c r="J227" s="44">
        <f t="shared" si="7"/>
        <v>1.0377625368497274E-3</v>
      </c>
      <c r="K227" s="39"/>
      <c r="L227" s="40"/>
    </row>
    <row r="228" spans="1:12" s="20" customFormat="1" ht="21.75" customHeight="1" x14ac:dyDescent="0.35">
      <c r="A228" s="1"/>
      <c r="B228" s="21">
        <v>221</v>
      </c>
      <c r="C228" s="98" t="s">
        <v>267</v>
      </c>
      <c r="D228" s="57">
        <v>669.82299999999998</v>
      </c>
      <c r="E228" s="42"/>
      <c r="F228" s="251">
        <v>2.532</v>
      </c>
      <c r="G228" s="251">
        <v>1.111</v>
      </c>
      <c r="H228" s="254">
        <v>1.421</v>
      </c>
      <c r="I228" s="43">
        <f t="shared" si="6"/>
        <v>0.37801031018642239</v>
      </c>
      <c r="J228" s="44">
        <f t="shared" si="7"/>
        <v>9.3210881280720453E-4</v>
      </c>
      <c r="K228" s="39"/>
      <c r="L228" s="40"/>
    </row>
    <row r="229" spans="1:12" s="20" customFormat="1" ht="21.75" customHeight="1" x14ac:dyDescent="0.35">
      <c r="A229" s="1"/>
      <c r="B229" s="21">
        <v>222</v>
      </c>
      <c r="C229" s="98" t="s">
        <v>268</v>
      </c>
      <c r="D229" s="57">
        <v>215.05600000000001</v>
      </c>
      <c r="E229" s="42"/>
      <c r="F229" s="251">
        <v>2.1739999999999999</v>
      </c>
      <c r="G229" s="251">
        <v>1.089</v>
      </c>
      <c r="H229" s="254">
        <v>1.085</v>
      </c>
      <c r="I229" s="43">
        <f t="shared" si="6"/>
        <v>1.0108994866453387</v>
      </c>
      <c r="J229" s="44">
        <f t="shared" si="7"/>
        <v>8.0031775633604375E-4</v>
      </c>
      <c r="K229" s="39"/>
      <c r="L229" s="40"/>
    </row>
    <row r="230" spans="1:12" s="20" customFormat="1" ht="21.75" customHeight="1" x14ac:dyDescent="0.35">
      <c r="A230" s="1"/>
      <c r="B230" s="21">
        <v>223</v>
      </c>
      <c r="C230" s="98" t="s">
        <v>269</v>
      </c>
      <c r="D230" s="57">
        <v>10.756</v>
      </c>
      <c r="E230" s="42"/>
      <c r="F230" s="251">
        <v>2.1139999999999999</v>
      </c>
      <c r="G230" s="251">
        <v>0.90800000000000003</v>
      </c>
      <c r="H230" s="254">
        <v>1.206</v>
      </c>
      <c r="I230" s="43">
        <f t="shared" si="6"/>
        <v>19.654146522870956</v>
      </c>
      <c r="J230" s="44">
        <f t="shared" si="7"/>
        <v>7.7822986977663122E-4</v>
      </c>
      <c r="K230" s="39"/>
      <c r="L230" s="40"/>
    </row>
    <row r="231" spans="1:12" s="20" customFormat="1" ht="21.75" customHeight="1" x14ac:dyDescent="0.35">
      <c r="A231" s="1"/>
      <c r="B231" s="21">
        <v>224</v>
      </c>
      <c r="C231" s="98" t="s">
        <v>287</v>
      </c>
      <c r="D231" s="57">
        <v>3.3769999999999998</v>
      </c>
      <c r="E231" s="42"/>
      <c r="F231" s="251">
        <v>1.9019999999999999</v>
      </c>
      <c r="G231" s="251">
        <v>0.84499999999999997</v>
      </c>
      <c r="H231" s="254">
        <v>1.0569999999999999</v>
      </c>
      <c r="I231" s="43">
        <f t="shared" si="6"/>
        <v>56.322179449215284</v>
      </c>
      <c r="J231" s="44">
        <f t="shared" si="7"/>
        <v>7.0018600393337402E-4</v>
      </c>
      <c r="K231" s="39"/>
      <c r="L231" s="40"/>
    </row>
    <row r="232" spans="1:12" s="20" customFormat="1" ht="21.75" customHeight="1" x14ac:dyDescent="0.35">
      <c r="A232" s="1"/>
      <c r="B232" s="21">
        <v>225</v>
      </c>
      <c r="C232" s="98" t="s">
        <v>270</v>
      </c>
      <c r="D232" s="57">
        <v>4.9889999999999999</v>
      </c>
      <c r="E232" s="42"/>
      <c r="F232" s="251">
        <v>1.375</v>
      </c>
      <c r="G232" s="251">
        <v>0.66600000000000004</v>
      </c>
      <c r="H232" s="254">
        <v>0.70899999999999996</v>
      </c>
      <c r="I232" s="43">
        <f t="shared" si="6"/>
        <v>27.560633393465629</v>
      </c>
      <c r="J232" s="44">
        <f t="shared" si="7"/>
        <v>5.0618073365320151E-4</v>
      </c>
      <c r="K232" s="39"/>
      <c r="L232" s="40"/>
    </row>
    <row r="233" spans="1:12" s="20" customFormat="1" ht="21.75" customHeight="1" x14ac:dyDescent="0.35">
      <c r="A233" s="1"/>
      <c r="B233" s="21">
        <v>226</v>
      </c>
      <c r="C233" s="98" t="s">
        <v>271</v>
      </c>
      <c r="D233" s="57">
        <v>11.432</v>
      </c>
      <c r="E233" s="42"/>
      <c r="F233" s="251">
        <v>1.022</v>
      </c>
      <c r="G233" s="251">
        <v>0.50600000000000001</v>
      </c>
      <c r="H233" s="254">
        <v>0.51600000000000001</v>
      </c>
      <c r="I233" s="43">
        <f t="shared" si="6"/>
        <v>8.9398180545836237</v>
      </c>
      <c r="J233" s="44">
        <f t="shared" si="7"/>
        <v>3.7623033439532509E-4</v>
      </c>
      <c r="K233" s="39"/>
      <c r="L233" s="40"/>
    </row>
    <row r="234" spans="1:12" s="20" customFormat="1" ht="21.75" customHeight="1" x14ac:dyDescent="0.35">
      <c r="A234" s="1"/>
      <c r="B234" s="21">
        <v>227</v>
      </c>
      <c r="C234" s="98" t="s">
        <v>272</v>
      </c>
      <c r="D234" s="57">
        <v>5.8220000000000001</v>
      </c>
      <c r="E234" s="42"/>
      <c r="F234" s="251">
        <v>0.99</v>
      </c>
      <c r="G234" s="251">
        <v>0.47099999999999997</v>
      </c>
      <c r="H234" s="254">
        <v>0.51900000000000002</v>
      </c>
      <c r="I234" s="43">
        <f t="shared" si="6"/>
        <v>17.00446581930608</v>
      </c>
      <c r="J234" s="44">
        <f t="shared" si="7"/>
        <v>3.6445012823030511E-4</v>
      </c>
      <c r="K234" s="39"/>
      <c r="L234" s="40"/>
    </row>
    <row r="235" spans="1:12" s="20" customFormat="1" ht="21.75" customHeight="1" x14ac:dyDescent="0.35">
      <c r="A235" s="1"/>
      <c r="B235" s="21">
        <v>228</v>
      </c>
      <c r="C235" s="98" t="s">
        <v>273</v>
      </c>
      <c r="D235" s="57">
        <v>0.79900000000000004</v>
      </c>
      <c r="E235" s="42"/>
      <c r="F235" s="251">
        <v>0.79900000000000004</v>
      </c>
      <c r="G235" s="251">
        <v>0.42599999999999999</v>
      </c>
      <c r="H235" s="254">
        <v>0.373</v>
      </c>
      <c r="I235" s="43">
        <f t="shared" si="6"/>
        <v>100</v>
      </c>
      <c r="J235" s="44">
        <f t="shared" si="7"/>
        <v>2.9413702268284224E-4</v>
      </c>
      <c r="K235" s="39"/>
      <c r="L235" s="40"/>
    </row>
    <row r="236" spans="1:12" s="20" customFormat="1" ht="21.75" customHeight="1" x14ac:dyDescent="0.35">
      <c r="A236" s="1"/>
      <c r="B236" s="21">
        <v>229</v>
      </c>
      <c r="C236" s="98" t="s">
        <v>274</v>
      </c>
      <c r="D236" s="57">
        <v>1.615</v>
      </c>
      <c r="E236" s="42"/>
      <c r="F236" s="251">
        <v>0.58799999999999997</v>
      </c>
      <c r="G236" s="251">
        <v>0.26900000000000002</v>
      </c>
      <c r="H236" s="254">
        <v>0.31900000000000001</v>
      </c>
      <c r="I236" s="43">
        <f t="shared" si="6"/>
        <v>36.408668730650149</v>
      </c>
      <c r="J236" s="44">
        <f t="shared" si="7"/>
        <v>2.1646128828224181E-4</v>
      </c>
      <c r="K236" s="39"/>
      <c r="L236" s="40"/>
    </row>
    <row r="237" spans="1:12" s="20" customFormat="1" ht="21.75" customHeight="1" x14ac:dyDescent="0.35">
      <c r="A237" s="1"/>
      <c r="B237" s="21">
        <v>230</v>
      </c>
      <c r="C237" s="98" t="s">
        <v>275</v>
      </c>
      <c r="D237" s="57">
        <v>1.34</v>
      </c>
      <c r="E237" s="42"/>
      <c r="F237" s="251">
        <v>0.504</v>
      </c>
      <c r="G237" s="251">
        <v>0.26200000000000001</v>
      </c>
      <c r="H237" s="254">
        <v>0.24199999999999999</v>
      </c>
      <c r="I237" s="43">
        <f t="shared" si="6"/>
        <v>37.611940298507463</v>
      </c>
      <c r="J237" s="44">
        <f t="shared" si="7"/>
        <v>1.8553824709906442E-4</v>
      </c>
      <c r="K237" s="39"/>
      <c r="L237" s="40"/>
    </row>
    <row r="238" spans="1:12" s="20" customFormat="1" ht="21.75" customHeight="1" x14ac:dyDescent="0.35">
      <c r="A238" s="1"/>
      <c r="B238" s="21">
        <v>231</v>
      </c>
      <c r="C238" s="98" t="s">
        <v>276</v>
      </c>
      <c r="D238" s="57">
        <v>6.0590000000000002</v>
      </c>
      <c r="E238" s="42"/>
      <c r="F238" s="251">
        <v>0.433</v>
      </c>
      <c r="G238" s="251">
        <v>0.13100000000000001</v>
      </c>
      <c r="H238" s="254">
        <v>0.30199999999999999</v>
      </c>
      <c r="I238" s="43">
        <f t="shared" si="6"/>
        <v>7.1463937943555047</v>
      </c>
      <c r="J238" s="44">
        <f t="shared" si="7"/>
        <v>1.5940091467042637E-4</v>
      </c>
      <c r="K238" s="39"/>
      <c r="L238" s="40"/>
    </row>
    <row r="239" spans="1:12" s="20" customFormat="1" ht="21.75" customHeight="1" x14ac:dyDescent="0.35">
      <c r="A239" s="99"/>
      <c r="B239" s="127">
        <v>232</v>
      </c>
      <c r="C239" s="128" t="s">
        <v>277</v>
      </c>
      <c r="D239" s="129">
        <v>11.646000000000001</v>
      </c>
      <c r="E239" s="118"/>
      <c r="F239" s="253">
        <v>0.23799999999999999</v>
      </c>
      <c r="G239" s="253">
        <v>0.107</v>
      </c>
      <c r="H239" s="255">
        <v>0.13100000000000001</v>
      </c>
      <c r="I239" s="130">
        <f t="shared" si="6"/>
        <v>2.0436201270822596</v>
      </c>
      <c r="J239" s="119">
        <f t="shared" si="7"/>
        <v>8.7615283352335973E-5</v>
      </c>
      <c r="K239" s="39"/>
      <c r="L239" s="40"/>
    </row>
    <row r="240" spans="1:12" ht="11.25" customHeight="1" x14ac:dyDescent="0.35">
      <c r="B240" s="21"/>
      <c r="C240" s="39"/>
      <c r="D240" s="57"/>
      <c r="E240" s="42"/>
      <c r="F240" s="126"/>
      <c r="G240" s="126"/>
      <c r="H240" s="42"/>
      <c r="I240" s="43"/>
      <c r="J240" s="44"/>
      <c r="K240" s="39"/>
      <c r="L240" s="40"/>
    </row>
    <row r="241" spans="2:12" ht="18" x14ac:dyDescent="0.35">
      <c r="B241" s="18" t="s">
        <v>292</v>
      </c>
      <c r="C241" s="182"/>
      <c r="D241" s="183"/>
      <c r="E241" s="184"/>
      <c r="F241" s="185"/>
      <c r="G241" s="185"/>
      <c r="H241" s="184"/>
      <c r="I241" s="186"/>
      <c r="J241" s="187"/>
      <c r="K241" s="182"/>
      <c r="L241" s="40"/>
    </row>
    <row r="242" spans="2:12" ht="18" x14ac:dyDescent="0.35">
      <c r="B242" s="281" t="s">
        <v>359</v>
      </c>
      <c r="C242" s="281"/>
      <c r="D242" s="281"/>
      <c r="E242" s="281"/>
      <c r="F242" s="281"/>
      <c r="G242" s="281"/>
      <c r="H242" s="281"/>
      <c r="I242" s="281"/>
      <c r="J242" s="281"/>
      <c r="K242" s="281"/>
      <c r="L242" s="40"/>
    </row>
    <row r="243" spans="2:12" ht="18" x14ac:dyDescent="0.35">
      <c r="B243" s="281" t="s">
        <v>355</v>
      </c>
      <c r="C243" s="281"/>
      <c r="D243" s="281"/>
      <c r="E243" s="281"/>
      <c r="F243" s="281"/>
      <c r="G243" s="281"/>
      <c r="H243" s="281"/>
      <c r="I243" s="281"/>
      <c r="J243" s="281"/>
      <c r="K243" s="281"/>
      <c r="L243" s="40"/>
    </row>
    <row r="244" spans="2:12" ht="18" x14ac:dyDescent="0.35">
      <c r="B244" s="18" t="s">
        <v>358</v>
      </c>
      <c r="C244" s="18"/>
      <c r="D244" s="18"/>
      <c r="E244" s="117"/>
      <c r="F244" s="117"/>
      <c r="G244" s="117"/>
      <c r="H244" s="117"/>
      <c r="I244" s="117"/>
      <c r="J244" s="117"/>
      <c r="K244" s="117"/>
      <c r="L244" s="40"/>
    </row>
  </sheetData>
  <mergeCells count="4">
    <mergeCell ref="B242:K242"/>
    <mergeCell ref="B243:K243"/>
    <mergeCell ref="L19:R19"/>
    <mergeCell ref="B6:C6"/>
  </mergeCells>
  <hyperlinks>
    <hyperlink ref="C244" r:id="rId1" display="http://www.un.org/en/development/desa/population/migration/data/empirical2/index.shtml"/>
    <hyperlink ref="J4" location="Contenido!A1" display="Contenido"/>
  </hyperlinks>
  <pageMargins left="0.7" right="0.7" top="0.75" bottom="0.75" header="0.3" footer="0.3"/>
  <pageSetup paperSize="9" orientation="portrait" r:id="rId2"/>
  <ignoredErrors>
    <ignoredError sqref="I7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7"/>
  <sheetViews>
    <sheetView showGridLines="0" zoomScaleNormal="100" workbookViewId="0">
      <selection activeCell="K4" sqref="K4"/>
    </sheetView>
  </sheetViews>
  <sheetFormatPr baseColWidth="10" defaultColWidth="11.42578125" defaultRowHeight="18" x14ac:dyDescent="0.35"/>
  <cols>
    <col min="1" max="1" width="2.85546875" style="1" customWidth="1"/>
    <col min="2" max="2" width="4.42578125" style="1" bestFit="1" customWidth="1"/>
    <col min="3" max="3" width="19.7109375" style="1" customWidth="1"/>
    <col min="4" max="4" width="18.140625" style="115" bestFit="1" customWidth="1"/>
    <col min="5" max="5" width="5.42578125" style="115" customWidth="1"/>
    <col min="6" max="6" width="19.7109375" style="115" customWidth="1"/>
    <col min="7" max="7" width="3.42578125" style="115" customWidth="1"/>
    <col min="8" max="8" width="19.140625" style="115" customWidth="1"/>
    <col min="9" max="9" width="24.5703125" style="115" customWidth="1"/>
    <col min="10" max="10" width="19.5703125" style="115" customWidth="1"/>
    <col min="11" max="11" width="19.85546875" style="115" customWidth="1"/>
    <col min="12" max="16384" width="11.42578125" style="1"/>
  </cols>
  <sheetData>
    <row r="1" spans="2:11" ht="24" x14ac:dyDescent="0.35">
      <c r="C1" s="3"/>
      <c r="D1" s="124"/>
      <c r="E1" s="124"/>
      <c r="F1" s="124"/>
      <c r="G1" s="124"/>
      <c r="H1" s="124"/>
      <c r="I1" s="124"/>
      <c r="J1" s="124"/>
      <c r="K1" s="124"/>
    </row>
    <row r="2" spans="2:11" ht="18" customHeight="1" x14ac:dyDescent="0.35">
      <c r="C2" s="26"/>
      <c r="E2" s="66"/>
      <c r="F2" s="66"/>
      <c r="G2" s="66"/>
      <c r="H2" s="66"/>
      <c r="I2" s="66"/>
      <c r="J2" s="66"/>
      <c r="K2" s="66"/>
    </row>
    <row r="3" spans="2:11" ht="15.75" customHeight="1" x14ac:dyDescent="0.35">
      <c r="C3" s="26"/>
      <c r="D3" s="66"/>
      <c r="E3" s="66"/>
      <c r="F3" s="66"/>
      <c r="G3" s="66"/>
      <c r="H3" s="66"/>
      <c r="I3" s="66"/>
      <c r="J3" s="66"/>
      <c r="K3" s="302"/>
    </row>
    <row r="4" spans="2:11" ht="16.5" customHeight="1" x14ac:dyDescent="0.35">
      <c r="B4" s="304" t="s">
        <v>346</v>
      </c>
      <c r="C4" s="304"/>
      <c r="D4" s="304"/>
      <c r="E4" s="304"/>
      <c r="F4" s="304"/>
      <c r="G4" s="304"/>
      <c r="H4" s="304"/>
      <c r="I4" s="304"/>
      <c r="J4" s="304"/>
      <c r="K4" s="303" t="s">
        <v>363</v>
      </c>
    </row>
    <row r="5" spans="2:11" ht="16.5" customHeight="1" x14ac:dyDescent="0.35">
      <c r="B5" s="3"/>
      <c r="C5" s="26"/>
      <c r="D5" s="66"/>
      <c r="E5" s="66"/>
      <c r="F5" s="66"/>
      <c r="G5" s="66"/>
      <c r="H5" s="66"/>
      <c r="I5" s="66"/>
      <c r="J5" s="66"/>
      <c r="K5" s="66"/>
    </row>
    <row r="6" spans="2:11" ht="54" customHeight="1" x14ac:dyDescent="0.35">
      <c r="B6" s="284" t="s">
        <v>54</v>
      </c>
      <c r="C6" s="284"/>
      <c r="D6" s="74" t="s">
        <v>45</v>
      </c>
      <c r="E6" s="81"/>
      <c r="F6" s="74" t="s">
        <v>64</v>
      </c>
      <c r="G6" s="81"/>
      <c r="H6" s="74" t="s">
        <v>343</v>
      </c>
      <c r="I6" s="74" t="s">
        <v>342</v>
      </c>
      <c r="J6" s="74" t="s">
        <v>65</v>
      </c>
      <c r="K6" s="74" t="s">
        <v>66</v>
      </c>
    </row>
    <row r="7" spans="2:11" ht="21" customHeight="1" x14ac:dyDescent="0.35">
      <c r="B7" s="286" t="s">
        <v>2</v>
      </c>
      <c r="C7" s="286"/>
      <c r="D7" s="256">
        <f>SUM(D8:D241)</f>
        <v>7713468.1000000024</v>
      </c>
      <c r="E7" s="256"/>
      <c r="F7" s="256">
        <f>SUM(F8:F241)</f>
        <v>271642.10499999992</v>
      </c>
      <c r="G7" s="257"/>
      <c r="H7" s="256">
        <f>SUM(H8:H241)</f>
        <v>130154.10100000001</v>
      </c>
      <c r="I7" s="256">
        <f>SUM(I8:I241)</f>
        <v>141488.00399999999</v>
      </c>
      <c r="J7" s="80">
        <f>(F7/D7)*100</f>
        <v>3.5216597965835863</v>
      </c>
      <c r="K7" s="138">
        <f>SUM(K8:K241)</f>
        <v>100.00000000000007</v>
      </c>
    </row>
    <row r="8" spans="2:11" x14ac:dyDescent="0.35">
      <c r="B8" s="21">
        <v>1</v>
      </c>
      <c r="C8" s="137" t="s">
        <v>26</v>
      </c>
      <c r="D8" s="55">
        <v>1366417.754</v>
      </c>
      <c r="E8" s="258"/>
      <c r="F8" s="140">
        <v>17510.931</v>
      </c>
      <c r="G8" s="259"/>
      <c r="H8" s="259">
        <v>6067.8710000000001</v>
      </c>
      <c r="I8" s="259">
        <v>11443.06</v>
      </c>
      <c r="J8" s="44">
        <f>(F8/D8)*100</f>
        <v>1.2815210391360299</v>
      </c>
      <c r="K8" s="44">
        <f>(F8/$F$7)*100</f>
        <v>6.4463242912949763</v>
      </c>
    </row>
    <row r="9" spans="2:11" x14ac:dyDescent="0.35">
      <c r="B9" s="79">
        <v>2</v>
      </c>
      <c r="C9" s="139" t="s">
        <v>33</v>
      </c>
      <c r="D9" s="260">
        <v>127575.52899999999</v>
      </c>
      <c r="E9" s="257"/>
      <c r="F9" s="141">
        <v>11796.178</v>
      </c>
      <c r="G9" s="257"/>
      <c r="H9" s="141">
        <v>5518.5339999999997</v>
      </c>
      <c r="I9" s="141">
        <v>6277.6440000000002</v>
      </c>
      <c r="J9" s="80">
        <f>(F9/D9)*100</f>
        <v>9.246426875486442</v>
      </c>
      <c r="K9" s="78">
        <f t="shared" ref="K9:K72" si="0">(F9/$F$7)*100</f>
        <v>4.3425440249772782</v>
      </c>
    </row>
    <row r="10" spans="2:11" x14ac:dyDescent="0.35">
      <c r="B10" s="21">
        <v>3</v>
      </c>
      <c r="C10" s="137" t="s">
        <v>43</v>
      </c>
      <c r="D10" s="55">
        <v>1457557.5619999999</v>
      </c>
      <c r="E10" s="258"/>
      <c r="F10" s="140">
        <v>10732.281000000001</v>
      </c>
      <c r="G10" s="259"/>
      <c r="H10" s="259">
        <v>5762.6819999999998</v>
      </c>
      <c r="I10" s="259">
        <v>4969.5990000000002</v>
      </c>
      <c r="J10" s="44">
        <f>(F10/D10)*100</f>
        <v>0.73631953068622624</v>
      </c>
      <c r="K10" s="44">
        <f t="shared" si="0"/>
        <v>3.9508900875289577</v>
      </c>
    </row>
    <row r="11" spans="2:11" x14ac:dyDescent="0.35">
      <c r="B11" s="21">
        <v>4</v>
      </c>
      <c r="C11" s="137" t="s">
        <v>20</v>
      </c>
      <c r="D11" s="55">
        <v>145872.25599999999</v>
      </c>
      <c r="E11" s="258"/>
      <c r="F11" s="140">
        <v>10491.715</v>
      </c>
      <c r="G11" s="259"/>
      <c r="H11" s="259">
        <v>5924.7150000000001</v>
      </c>
      <c r="I11" s="259">
        <v>4567</v>
      </c>
      <c r="J11" s="44">
        <f t="shared" ref="J11:J74" si="1">(F11/D11)*100</f>
        <v>7.1923992181213672</v>
      </c>
      <c r="K11" s="44">
        <f t="shared" si="0"/>
        <v>3.8623301788947644</v>
      </c>
    </row>
    <row r="12" spans="2:11" x14ac:dyDescent="0.35">
      <c r="B12" s="21">
        <v>5</v>
      </c>
      <c r="C12" s="137" t="s">
        <v>280</v>
      </c>
      <c r="D12" s="55">
        <v>17070.134999999998</v>
      </c>
      <c r="E12" s="258"/>
      <c r="F12" s="140">
        <v>8225.4989999999998</v>
      </c>
      <c r="G12" s="259"/>
      <c r="H12" s="259">
        <v>3389.5819999999999</v>
      </c>
      <c r="I12" s="259">
        <v>4835.9170000000004</v>
      </c>
      <c r="J12" s="44">
        <f t="shared" si="1"/>
        <v>48.186490616506546</v>
      </c>
      <c r="K12" s="44">
        <f t="shared" si="0"/>
        <v>3.0280648134426738</v>
      </c>
    </row>
    <row r="13" spans="2:11" x14ac:dyDescent="0.35">
      <c r="B13" s="21">
        <v>6</v>
      </c>
      <c r="C13" s="137" t="s">
        <v>34</v>
      </c>
      <c r="D13" s="55">
        <v>163046.16099999999</v>
      </c>
      <c r="E13" s="258"/>
      <c r="F13" s="140">
        <v>7835.152</v>
      </c>
      <c r="G13" s="259"/>
      <c r="H13" s="259">
        <v>2619.047</v>
      </c>
      <c r="I13" s="259">
        <v>5216.1049999999996</v>
      </c>
      <c r="J13" s="44">
        <f t="shared" si="1"/>
        <v>4.8054808233111359</v>
      </c>
      <c r="K13" s="44">
        <f t="shared" si="0"/>
        <v>2.884365809195891</v>
      </c>
    </row>
    <row r="14" spans="2:11" x14ac:dyDescent="0.35">
      <c r="B14" s="21">
        <v>7</v>
      </c>
      <c r="C14" s="137" t="s">
        <v>30</v>
      </c>
      <c r="D14" s="55">
        <v>216565.318</v>
      </c>
      <c r="E14" s="258"/>
      <c r="F14" s="140">
        <v>6303.2860000000001</v>
      </c>
      <c r="G14" s="259"/>
      <c r="H14" s="259">
        <v>2173.9369999999999</v>
      </c>
      <c r="I14" s="259">
        <v>4129.3490000000002</v>
      </c>
      <c r="J14" s="44">
        <f t="shared" si="1"/>
        <v>2.910570380433676</v>
      </c>
      <c r="K14" s="44">
        <f t="shared" si="0"/>
        <v>2.3204377686588762</v>
      </c>
    </row>
    <row r="15" spans="2:11" x14ac:dyDescent="0.35">
      <c r="B15" s="21">
        <v>8</v>
      </c>
      <c r="C15" s="137" t="s">
        <v>27</v>
      </c>
      <c r="D15" s="55">
        <v>43993.637999999999</v>
      </c>
      <c r="E15" s="258"/>
      <c r="F15" s="140">
        <v>5901.067</v>
      </c>
      <c r="G15" s="259"/>
      <c r="H15" s="259">
        <v>3242.5390000000002</v>
      </c>
      <c r="I15" s="259">
        <v>2658.5279999999998</v>
      </c>
      <c r="J15" s="44">
        <f t="shared" si="1"/>
        <v>13.413455372797312</v>
      </c>
      <c r="K15" s="44">
        <f t="shared" si="0"/>
        <v>2.172368307924871</v>
      </c>
    </row>
    <row r="16" spans="2:11" x14ac:dyDescent="0.35">
      <c r="B16" s="21">
        <v>9</v>
      </c>
      <c r="C16" s="137" t="s">
        <v>36</v>
      </c>
      <c r="D16" s="55">
        <v>108116.61500000001</v>
      </c>
      <c r="E16" s="258"/>
      <c r="F16" s="140">
        <v>5377.3370000000004</v>
      </c>
      <c r="G16" s="259"/>
      <c r="H16" s="259">
        <v>2881.6460000000002</v>
      </c>
      <c r="I16" s="259">
        <v>2495.6909999999998</v>
      </c>
      <c r="J16" s="44">
        <f t="shared" si="1"/>
        <v>4.9736453550640674</v>
      </c>
      <c r="K16" s="44">
        <f t="shared" si="0"/>
        <v>1.9795668274621865</v>
      </c>
    </row>
    <row r="17" spans="2:14" x14ac:dyDescent="0.35">
      <c r="B17" s="21">
        <v>10</v>
      </c>
      <c r="C17" s="137" t="s">
        <v>32</v>
      </c>
      <c r="D17" s="55">
        <v>38041.754000000001</v>
      </c>
      <c r="E17" s="258"/>
      <c r="F17" s="140">
        <v>5120.7560000000003</v>
      </c>
      <c r="G17" s="259"/>
      <c r="H17" s="259">
        <v>2392.067</v>
      </c>
      <c r="I17" s="259">
        <v>2728.6889999999999</v>
      </c>
      <c r="J17" s="44">
        <f t="shared" si="1"/>
        <v>13.46088300765522</v>
      </c>
      <c r="K17" s="44">
        <f t="shared" si="0"/>
        <v>1.8851112937738432</v>
      </c>
    </row>
    <row r="18" spans="2:14" x14ac:dyDescent="0.35">
      <c r="B18" s="21">
        <v>11</v>
      </c>
      <c r="C18" s="137" t="s">
        <v>42</v>
      </c>
      <c r="D18" s="55">
        <v>270625.56800000003</v>
      </c>
      <c r="E18" s="258"/>
      <c r="F18" s="140">
        <v>4532.9920000000002</v>
      </c>
      <c r="G18" s="259"/>
      <c r="H18" s="259">
        <v>2040.94</v>
      </c>
      <c r="I18" s="259">
        <v>2492.0520000000001</v>
      </c>
      <c r="J18" s="44">
        <f t="shared" si="1"/>
        <v>1.6750050756475454</v>
      </c>
      <c r="K18" s="44">
        <f t="shared" si="0"/>
        <v>1.6687368845120683</v>
      </c>
    </row>
    <row r="19" spans="2:14" x14ac:dyDescent="0.35">
      <c r="B19" s="21">
        <v>12</v>
      </c>
      <c r="C19" s="137" t="s">
        <v>38</v>
      </c>
      <c r="D19" s="55">
        <v>37887.767999999996</v>
      </c>
      <c r="E19" s="258"/>
      <c r="F19" s="140">
        <v>4446.9849999999997</v>
      </c>
      <c r="G19" s="259"/>
      <c r="H19" s="259">
        <v>2291.0160000000001</v>
      </c>
      <c r="I19" s="259">
        <v>2155.9690000000001</v>
      </c>
      <c r="J19" s="44">
        <f t="shared" si="1"/>
        <v>11.737257787262633</v>
      </c>
      <c r="K19" s="44">
        <f t="shared" si="0"/>
        <v>1.6370750035234785</v>
      </c>
    </row>
    <row r="20" spans="2:14" x14ac:dyDescent="0.35">
      <c r="B20" s="21">
        <v>13</v>
      </c>
      <c r="C20" s="137" t="s">
        <v>80</v>
      </c>
      <c r="D20" s="55">
        <v>67530.172000000006</v>
      </c>
      <c r="E20" s="258"/>
      <c r="F20" s="140">
        <v>4274.9979999999996</v>
      </c>
      <c r="G20" s="259"/>
      <c r="H20" s="259">
        <v>2103.5079999999998</v>
      </c>
      <c r="I20" s="259">
        <v>2171.4899999999998</v>
      </c>
      <c r="J20" s="44">
        <f t="shared" si="1"/>
        <v>6.3305006834574611</v>
      </c>
      <c r="K20" s="44">
        <f t="shared" si="0"/>
        <v>1.5737611810952505</v>
      </c>
    </row>
    <row r="21" spans="2:14" x14ac:dyDescent="0.35">
      <c r="B21" s="21">
        <v>14</v>
      </c>
      <c r="C21" s="137" t="s">
        <v>21</v>
      </c>
      <c r="D21" s="55">
        <v>83517.044999999998</v>
      </c>
      <c r="E21" s="258"/>
      <c r="F21" s="140">
        <v>4014.203</v>
      </c>
      <c r="G21" s="259"/>
      <c r="H21" s="259">
        <v>2143.9470000000001</v>
      </c>
      <c r="I21" s="259">
        <v>1870.2560000000001</v>
      </c>
      <c r="J21" s="44">
        <f t="shared" si="1"/>
        <v>4.8064475940210762</v>
      </c>
      <c r="K21" s="44">
        <f t="shared" si="0"/>
        <v>1.4777543415075514</v>
      </c>
    </row>
    <row r="22" spans="2:14" x14ac:dyDescent="0.35">
      <c r="B22" s="21">
        <v>15</v>
      </c>
      <c r="C22" s="137" t="s">
        <v>44</v>
      </c>
      <c r="D22" s="55">
        <v>18551.427</v>
      </c>
      <c r="E22" s="258"/>
      <c r="F22" s="140">
        <v>4005.587</v>
      </c>
      <c r="G22" s="259"/>
      <c r="H22" s="259">
        <v>2140.1489999999999</v>
      </c>
      <c r="I22" s="259">
        <v>1865.4380000000001</v>
      </c>
      <c r="J22" s="44">
        <f t="shared" si="1"/>
        <v>21.591799919219152</v>
      </c>
      <c r="K22" s="44">
        <f t="shared" si="0"/>
        <v>1.4745825209976198</v>
      </c>
    </row>
    <row r="23" spans="2:14" x14ac:dyDescent="0.35">
      <c r="B23" s="21">
        <v>16</v>
      </c>
      <c r="C23" s="137" t="s">
        <v>291</v>
      </c>
      <c r="D23" s="55">
        <v>4981.42</v>
      </c>
      <c r="E23" s="258"/>
      <c r="F23" s="140">
        <v>3890.65</v>
      </c>
      <c r="G23" s="259"/>
      <c r="H23" s="259">
        <v>1853.0429999999999</v>
      </c>
      <c r="I23" s="259">
        <v>2037.607</v>
      </c>
      <c r="J23" s="44">
        <f t="shared" si="1"/>
        <v>78.103231608657779</v>
      </c>
      <c r="K23" s="44">
        <f t="shared" si="0"/>
        <v>1.4322705973729666</v>
      </c>
    </row>
    <row r="24" spans="2:14" x14ac:dyDescent="0.35">
      <c r="B24" s="21">
        <v>17</v>
      </c>
      <c r="C24" s="137" t="s">
        <v>57</v>
      </c>
      <c r="D24" s="55">
        <v>54045.42</v>
      </c>
      <c r="E24" s="258"/>
      <c r="F24" s="140">
        <v>3699.4720000000002</v>
      </c>
      <c r="G24" s="259"/>
      <c r="H24" s="259">
        <v>1374.8889999999999</v>
      </c>
      <c r="I24" s="259">
        <v>2324.5830000000001</v>
      </c>
      <c r="J24" s="44">
        <f t="shared" si="1"/>
        <v>6.845116570469802</v>
      </c>
      <c r="K24" s="44">
        <f t="shared" si="0"/>
        <v>1.3618919644287109</v>
      </c>
      <c r="N24" s="24"/>
    </row>
    <row r="25" spans="2:14" x14ac:dyDescent="0.35">
      <c r="B25" s="21">
        <v>18</v>
      </c>
      <c r="C25" s="137" t="s">
        <v>41</v>
      </c>
      <c r="D25" s="55">
        <v>19364.557000000001</v>
      </c>
      <c r="E25" s="258"/>
      <c r="F25" s="140">
        <v>3572.7939999999999</v>
      </c>
      <c r="G25" s="259"/>
      <c r="H25" s="259">
        <v>1898.5830000000001</v>
      </c>
      <c r="I25" s="259">
        <v>1674.211</v>
      </c>
      <c r="J25" s="44">
        <f t="shared" si="1"/>
        <v>18.450171620244138</v>
      </c>
      <c r="K25" s="44">
        <f t="shared" si="0"/>
        <v>1.3152578095358232</v>
      </c>
    </row>
    <row r="26" spans="2:14" x14ac:dyDescent="0.35">
      <c r="B26" s="21">
        <v>19</v>
      </c>
      <c r="C26" s="137" t="s">
        <v>39</v>
      </c>
      <c r="D26" s="55">
        <v>100388.073</v>
      </c>
      <c r="E26" s="258"/>
      <c r="F26" s="140">
        <v>3547.6260000000002</v>
      </c>
      <c r="G26" s="259"/>
      <c r="H26" s="259">
        <v>1252.325</v>
      </c>
      <c r="I26" s="259">
        <v>2295.3009999999999</v>
      </c>
      <c r="J26" s="44">
        <f t="shared" si="1"/>
        <v>3.5339118422962459</v>
      </c>
      <c r="K26" s="44">
        <f t="shared" si="0"/>
        <v>1.3059926773870352</v>
      </c>
    </row>
    <row r="27" spans="2:14" x14ac:dyDescent="0.35">
      <c r="B27" s="21">
        <v>20</v>
      </c>
      <c r="C27" s="137" t="s">
        <v>37</v>
      </c>
      <c r="D27" s="55">
        <v>83429.615000000005</v>
      </c>
      <c r="E27" s="261"/>
      <c r="F27" s="140">
        <v>3493.0709999999999</v>
      </c>
      <c r="G27" s="261"/>
      <c r="H27" s="259">
        <v>1673.4590000000001</v>
      </c>
      <c r="I27" s="259">
        <v>1819.6120000000001</v>
      </c>
      <c r="J27" s="44">
        <f t="shared" si="1"/>
        <v>4.1868477997890796</v>
      </c>
      <c r="K27" s="44">
        <f t="shared" si="0"/>
        <v>1.2859092665328893</v>
      </c>
    </row>
    <row r="28" spans="2:14" x14ac:dyDescent="0.35">
      <c r="B28" s="21">
        <v>21</v>
      </c>
      <c r="C28" s="137" t="s">
        <v>51</v>
      </c>
      <c r="D28" s="55">
        <v>329064.91700000002</v>
      </c>
      <c r="E28" s="140"/>
      <c r="F28" s="140">
        <v>3167.0720000000001</v>
      </c>
      <c r="G28" s="140"/>
      <c r="H28" s="259">
        <v>1574.001</v>
      </c>
      <c r="I28" s="259">
        <v>1593.0709999999999</v>
      </c>
      <c r="J28" s="44">
        <f t="shared" si="1"/>
        <v>0.96244596016900819</v>
      </c>
      <c r="K28" s="44">
        <f t="shared" si="0"/>
        <v>1.1658987843581909</v>
      </c>
    </row>
    <row r="29" spans="2:14" x14ac:dyDescent="0.35">
      <c r="B29" s="21">
        <v>22</v>
      </c>
      <c r="C29" s="137" t="s">
        <v>184</v>
      </c>
      <c r="D29" s="55">
        <v>36471.769</v>
      </c>
      <c r="E29" s="140"/>
      <c r="F29" s="140">
        <v>3136.069</v>
      </c>
      <c r="G29" s="140"/>
      <c r="H29" s="259">
        <v>1489.163</v>
      </c>
      <c r="I29" s="259">
        <v>1646.9059999999999</v>
      </c>
      <c r="J29" s="44">
        <f t="shared" si="1"/>
        <v>8.5986204836952105</v>
      </c>
      <c r="K29" s="44">
        <f t="shared" si="0"/>
        <v>1.1544856052415</v>
      </c>
    </row>
    <row r="30" spans="2:14" x14ac:dyDescent="0.35">
      <c r="B30" s="21">
        <v>23</v>
      </c>
      <c r="C30" s="137" t="s">
        <v>29</v>
      </c>
      <c r="D30" s="55">
        <v>60550.074999999997</v>
      </c>
      <c r="E30" s="140"/>
      <c r="F30" s="140">
        <v>3077.777</v>
      </c>
      <c r="G30" s="140"/>
      <c r="H30" s="259">
        <v>1432.8230000000001</v>
      </c>
      <c r="I30" s="259">
        <v>1644.954</v>
      </c>
      <c r="J30" s="44">
        <f t="shared" si="1"/>
        <v>5.0830275602466219</v>
      </c>
      <c r="K30" s="44">
        <f t="shared" si="0"/>
        <v>1.1330264871861455</v>
      </c>
    </row>
    <row r="31" spans="2:14" x14ac:dyDescent="0.35">
      <c r="B31" s="21">
        <v>24</v>
      </c>
      <c r="C31" s="137" t="s">
        <v>113</v>
      </c>
      <c r="D31" s="55">
        <v>50339.442999999999</v>
      </c>
      <c r="E31" s="140"/>
      <c r="F31" s="140">
        <v>2869.0320000000002</v>
      </c>
      <c r="G31" s="140"/>
      <c r="H31" s="259">
        <v>1561.1379999999999</v>
      </c>
      <c r="I31" s="259">
        <v>1307.894</v>
      </c>
      <c r="J31" s="44">
        <f t="shared" si="1"/>
        <v>5.6993717630129526</v>
      </c>
      <c r="K31" s="44">
        <f t="shared" si="0"/>
        <v>1.0561808891887363</v>
      </c>
    </row>
    <row r="32" spans="2:14" x14ac:dyDescent="0.35">
      <c r="B32" s="21">
        <v>25</v>
      </c>
      <c r="C32" s="137" t="s">
        <v>194</v>
      </c>
      <c r="D32" s="55">
        <v>96462.106</v>
      </c>
      <c r="E32" s="140"/>
      <c r="F32" s="140">
        <v>2683.9540000000002</v>
      </c>
      <c r="G32" s="140"/>
      <c r="H32" s="259">
        <v>1369.761</v>
      </c>
      <c r="I32" s="259">
        <v>1314.193</v>
      </c>
      <c r="J32" s="44">
        <f t="shared" si="1"/>
        <v>2.7823920825448289</v>
      </c>
      <c r="K32" s="44">
        <f t="shared" si="0"/>
        <v>0.98804785804468742</v>
      </c>
    </row>
    <row r="33" spans="2:11" x14ac:dyDescent="0.35">
      <c r="B33" s="21">
        <v>26</v>
      </c>
      <c r="C33" s="137" t="s">
        <v>118</v>
      </c>
      <c r="D33" s="55">
        <v>10226.187</v>
      </c>
      <c r="E33" s="140"/>
      <c r="F33" s="140">
        <v>2631.5590000000002</v>
      </c>
      <c r="G33" s="140"/>
      <c r="H33" s="259">
        <v>1336.269</v>
      </c>
      <c r="I33" s="259">
        <v>1295.29</v>
      </c>
      <c r="J33" s="44">
        <f t="shared" si="1"/>
        <v>25.733530982760243</v>
      </c>
      <c r="K33" s="44">
        <f t="shared" si="0"/>
        <v>0.96875961110668063</v>
      </c>
    </row>
    <row r="34" spans="2:11" x14ac:dyDescent="0.35">
      <c r="B34" s="21">
        <v>27</v>
      </c>
      <c r="C34" s="137" t="s">
        <v>120</v>
      </c>
      <c r="D34" s="55">
        <v>11062.112999999999</v>
      </c>
      <c r="E34" s="140"/>
      <c r="F34" s="140">
        <v>2608.2179999999998</v>
      </c>
      <c r="G34" s="140"/>
      <c r="H34" s="259">
        <v>1317.116</v>
      </c>
      <c r="I34" s="259">
        <v>1291.1020000000001</v>
      </c>
      <c r="J34" s="44">
        <f t="shared" si="1"/>
        <v>23.577936692564975</v>
      </c>
      <c r="K34" s="44">
        <f t="shared" si="0"/>
        <v>0.96016705510362632</v>
      </c>
    </row>
    <row r="35" spans="2:11" x14ac:dyDescent="0.35">
      <c r="B35" s="21">
        <v>28</v>
      </c>
      <c r="C35" s="137" t="s">
        <v>278</v>
      </c>
      <c r="D35" s="55">
        <v>28515.829000000002</v>
      </c>
      <c r="E35" s="140"/>
      <c r="F35" s="140">
        <v>2519.7800000000002</v>
      </c>
      <c r="G35" s="140"/>
      <c r="H35" s="259">
        <v>1302.797</v>
      </c>
      <c r="I35" s="259">
        <v>1216.9829999999999</v>
      </c>
      <c r="J35" s="44">
        <f t="shared" si="1"/>
        <v>8.8364255515769852</v>
      </c>
      <c r="K35" s="44">
        <f t="shared" si="0"/>
        <v>0.92761024657793778</v>
      </c>
    </row>
    <row r="36" spans="2:11" x14ac:dyDescent="0.35">
      <c r="B36" s="21">
        <v>29</v>
      </c>
      <c r="C36" s="137" t="s">
        <v>24</v>
      </c>
      <c r="D36" s="55">
        <v>65129.728000000003</v>
      </c>
      <c r="E36" s="140"/>
      <c r="F36" s="140">
        <v>2296.5340000000001</v>
      </c>
      <c r="G36" s="140"/>
      <c r="H36" s="259">
        <v>1173.954</v>
      </c>
      <c r="I36" s="259">
        <v>1122.58</v>
      </c>
      <c r="J36" s="44">
        <f t="shared" si="1"/>
        <v>3.5260918025022305</v>
      </c>
      <c r="K36" s="44">
        <f t="shared" si="0"/>
        <v>0.84542637453056146</v>
      </c>
    </row>
    <row r="37" spans="2:11" x14ac:dyDescent="0.35">
      <c r="B37" s="21">
        <v>30</v>
      </c>
      <c r="C37" s="137" t="s">
        <v>136</v>
      </c>
      <c r="D37" s="55">
        <v>28608.71</v>
      </c>
      <c r="E37" s="140"/>
      <c r="F37" s="140">
        <v>2285.364</v>
      </c>
      <c r="G37" s="140"/>
      <c r="H37" s="259">
        <v>886.10599999999999</v>
      </c>
      <c r="I37" s="259">
        <v>1399.258</v>
      </c>
      <c r="J37" s="44">
        <f t="shared" si="1"/>
        <v>7.9883504009792823</v>
      </c>
      <c r="K37" s="44">
        <f t="shared" si="0"/>
        <v>0.84131434631608415</v>
      </c>
    </row>
    <row r="38" spans="2:11" x14ac:dyDescent="0.35">
      <c r="B38" s="21">
        <v>31</v>
      </c>
      <c r="C38" s="137" t="s">
        <v>279</v>
      </c>
      <c r="D38" s="55">
        <v>51225.307999999997</v>
      </c>
      <c r="E38" s="140"/>
      <c r="F38" s="140">
        <v>2176.58</v>
      </c>
      <c r="G38" s="140"/>
      <c r="H38" s="259">
        <v>1088.894</v>
      </c>
      <c r="I38" s="259">
        <v>1087.6859999999999</v>
      </c>
      <c r="J38" s="44">
        <f t="shared" si="1"/>
        <v>4.249032528999142</v>
      </c>
      <c r="K38" s="44">
        <f t="shared" si="0"/>
        <v>0.8012675354580987</v>
      </c>
    </row>
    <row r="39" spans="2:11" x14ac:dyDescent="0.35">
      <c r="B39" s="21">
        <v>32</v>
      </c>
      <c r="C39" s="137" t="s">
        <v>208</v>
      </c>
      <c r="D39" s="55">
        <v>15442.905000000001</v>
      </c>
      <c r="E39" s="140"/>
      <c r="F39" s="140">
        <v>2054.377</v>
      </c>
      <c r="G39" s="140"/>
      <c r="H39" s="259">
        <v>992.88400000000001</v>
      </c>
      <c r="I39" s="259">
        <v>1061.4929999999999</v>
      </c>
      <c r="J39" s="44">
        <f t="shared" si="1"/>
        <v>13.303047580749864</v>
      </c>
      <c r="K39" s="44">
        <f t="shared" si="0"/>
        <v>0.75628076877110062</v>
      </c>
    </row>
    <row r="40" spans="2:11" x14ac:dyDescent="0.35">
      <c r="B40" s="21">
        <v>33</v>
      </c>
      <c r="C40" s="137" t="s">
        <v>110</v>
      </c>
      <c r="D40" s="55">
        <v>42813.237999999998</v>
      </c>
      <c r="E40" s="140"/>
      <c r="F40" s="140">
        <v>2040.6130000000001</v>
      </c>
      <c r="G40" s="140"/>
      <c r="H40" s="259">
        <v>914.92100000000005</v>
      </c>
      <c r="I40" s="259">
        <v>1125.692</v>
      </c>
      <c r="J40" s="44">
        <f t="shared" si="1"/>
        <v>4.7663131669695247</v>
      </c>
      <c r="K40" s="44">
        <f t="shared" si="0"/>
        <v>0.75121380759437151</v>
      </c>
    </row>
    <row r="41" spans="2:11" x14ac:dyDescent="0.35">
      <c r="B41" s="21">
        <v>34</v>
      </c>
      <c r="C41" s="137" t="s">
        <v>148</v>
      </c>
      <c r="D41" s="55">
        <v>39309.783000000003</v>
      </c>
      <c r="E41" s="140"/>
      <c r="F41" s="140">
        <v>2033.5219999999999</v>
      </c>
      <c r="G41" s="140"/>
      <c r="H41" s="259">
        <v>994.51700000000005</v>
      </c>
      <c r="I41" s="259">
        <v>1039.0050000000001</v>
      </c>
      <c r="J41" s="44">
        <f t="shared" si="1"/>
        <v>5.173068495442978</v>
      </c>
      <c r="K41" s="44">
        <f t="shared" si="0"/>
        <v>0.74860338753449163</v>
      </c>
    </row>
    <row r="42" spans="2:11" x14ac:dyDescent="0.35">
      <c r="B42" s="21">
        <v>35</v>
      </c>
      <c r="C42" s="137" t="s">
        <v>58</v>
      </c>
      <c r="D42" s="55">
        <v>2933.4079999999999</v>
      </c>
      <c r="E42" s="140"/>
      <c r="F42" s="140">
        <v>2007.347</v>
      </c>
      <c r="G42" s="140"/>
      <c r="H42" s="259">
        <v>1030.2090000000001</v>
      </c>
      <c r="I42" s="259">
        <v>977.13800000000003</v>
      </c>
      <c r="J42" s="44">
        <f t="shared" si="1"/>
        <v>68.430542222561613</v>
      </c>
      <c r="K42" s="44">
        <f t="shared" si="0"/>
        <v>0.73896754702294798</v>
      </c>
    </row>
    <row r="43" spans="2:11" x14ac:dyDescent="0.35">
      <c r="B43" s="21">
        <v>36</v>
      </c>
      <c r="C43" s="137" t="s">
        <v>112</v>
      </c>
      <c r="D43" s="55">
        <v>32981.716</v>
      </c>
      <c r="E43" s="140"/>
      <c r="F43" s="140">
        <v>1979.5229999999999</v>
      </c>
      <c r="G43" s="140"/>
      <c r="H43" s="259">
        <v>958.04100000000005</v>
      </c>
      <c r="I43" s="259">
        <v>1021.482</v>
      </c>
      <c r="J43" s="44">
        <f t="shared" si="1"/>
        <v>6.0018799506975311</v>
      </c>
      <c r="K43" s="44">
        <f t="shared" si="0"/>
        <v>0.72872465776246298</v>
      </c>
    </row>
    <row r="44" spans="2:11" x14ac:dyDescent="0.35">
      <c r="B44" s="21">
        <v>37</v>
      </c>
      <c r="C44" s="137" t="s">
        <v>157</v>
      </c>
      <c r="D44" s="55">
        <v>43053.053999999996</v>
      </c>
      <c r="E44" s="140"/>
      <c r="F44" s="140">
        <v>1944.7840000000001</v>
      </c>
      <c r="G44" s="140"/>
      <c r="H44" s="259">
        <v>903.21199999999999</v>
      </c>
      <c r="I44" s="259">
        <v>1041.5719999999999</v>
      </c>
      <c r="J44" s="44">
        <f t="shared" si="1"/>
        <v>4.5171801284991311</v>
      </c>
      <c r="K44" s="44">
        <f t="shared" si="0"/>
        <v>0.71593613957600599</v>
      </c>
    </row>
    <row r="45" spans="2:11" x14ac:dyDescent="0.35">
      <c r="B45" s="21">
        <v>38</v>
      </c>
      <c r="C45" s="137" t="s">
        <v>216</v>
      </c>
      <c r="D45" s="55">
        <v>21323.733</v>
      </c>
      <c r="E45" s="140"/>
      <c r="F45" s="140">
        <v>1775.768</v>
      </c>
      <c r="G45" s="140"/>
      <c r="H45" s="259">
        <v>733.80700000000002</v>
      </c>
      <c r="I45" s="259">
        <v>1041.961</v>
      </c>
      <c r="J45" s="44">
        <f t="shared" si="1"/>
        <v>8.3276600771544089</v>
      </c>
      <c r="K45" s="44">
        <f t="shared" si="0"/>
        <v>0.65371603566391168</v>
      </c>
    </row>
    <row r="46" spans="2:11" x14ac:dyDescent="0.35">
      <c r="B46" s="21">
        <v>39</v>
      </c>
      <c r="C46" s="137" t="s">
        <v>123</v>
      </c>
      <c r="D46" s="55">
        <v>211049.527</v>
      </c>
      <c r="E46" s="140"/>
      <c r="F46" s="140">
        <v>1745.3389999999999</v>
      </c>
      <c r="G46" s="140"/>
      <c r="H46" s="259">
        <v>1007.396</v>
      </c>
      <c r="I46" s="259">
        <v>737.94299999999998</v>
      </c>
      <c r="J46" s="44">
        <f t="shared" si="1"/>
        <v>0.82698076835775125</v>
      </c>
      <c r="K46" s="44">
        <f t="shared" si="0"/>
        <v>0.64251416399530559</v>
      </c>
    </row>
    <row r="47" spans="2:11" x14ac:dyDescent="0.35">
      <c r="B47" s="21">
        <v>40</v>
      </c>
      <c r="C47" s="137" t="s">
        <v>73</v>
      </c>
      <c r="D47" s="55">
        <v>31949.776999999998</v>
      </c>
      <c r="E47" s="140"/>
      <c r="F47" s="140">
        <v>1689.222</v>
      </c>
      <c r="G47" s="140"/>
      <c r="H47" s="259">
        <v>955.93399999999997</v>
      </c>
      <c r="I47" s="259">
        <v>733.28800000000001</v>
      </c>
      <c r="J47" s="44">
        <f t="shared" si="1"/>
        <v>5.2871167144609492</v>
      </c>
      <c r="K47" s="44">
        <f t="shared" si="0"/>
        <v>0.62185573182772991</v>
      </c>
    </row>
    <row r="48" spans="2:11" ht="40.5" x14ac:dyDescent="0.35">
      <c r="B48" s="21">
        <v>41</v>
      </c>
      <c r="C48" s="137" t="s">
        <v>117</v>
      </c>
      <c r="D48" s="55">
        <v>86790.566999999995</v>
      </c>
      <c r="E48" s="140"/>
      <c r="F48" s="140">
        <v>1684.615</v>
      </c>
      <c r="G48" s="140"/>
      <c r="H48" s="259">
        <v>851.63</v>
      </c>
      <c r="I48" s="259">
        <v>832.98500000000001</v>
      </c>
      <c r="J48" s="44">
        <f t="shared" si="1"/>
        <v>1.9410116309068475</v>
      </c>
      <c r="K48" s="44">
        <f t="shared" si="0"/>
        <v>0.62015975027140968</v>
      </c>
    </row>
    <row r="49" spans="2:11" x14ac:dyDescent="0.35">
      <c r="B49" s="21">
        <v>42</v>
      </c>
      <c r="C49" s="137" t="s">
        <v>259</v>
      </c>
      <c r="D49" s="55">
        <v>11333.483</v>
      </c>
      <c r="E49" s="140"/>
      <c r="F49" s="140">
        <v>1654.684</v>
      </c>
      <c r="G49" s="140"/>
      <c r="H49" s="259">
        <v>885.66300000000001</v>
      </c>
      <c r="I49" s="259">
        <v>769.02099999999996</v>
      </c>
      <c r="J49" s="44">
        <f t="shared" si="1"/>
        <v>14.599960135820558</v>
      </c>
      <c r="K49" s="44">
        <f t="shared" si="0"/>
        <v>0.60914120806124683</v>
      </c>
    </row>
    <row r="50" spans="2:11" x14ac:dyDescent="0.35">
      <c r="B50" s="21">
        <v>43</v>
      </c>
      <c r="C50" s="137" t="s">
        <v>219</v>
      </c>
      <c r="D50" s="55">
        <v>3301</v>
      </c>
      <c r="E50" s="140"/>
      <c r="F50" s="140">
        <v>1653.056</v>
      </c>
      <c r="G50" s="140"/>
      <c r="H50" s="259">
        <v>851.35900000000004</v>
      </c>
      <c r="I50" s="259">
        <v>801.697</v>
      </c>
      <c r="J50" s="44">
        <f t="shared" si="1"/>
        <v>50.077431081490452</v>
      </c>
      <c r="K50" s="44">
        <f t="shared" si="0"/>
        <v>0.6085418900726014</v>
      </c>
    </row>
    <row r="51" spans="2:11" x14ac:dyDescent="0.35">
      <c r="B51" s="21">
        <v>44</v>
      </c>
      <c r="C51" s="137" t="s">
        <v>213</v>
      </c>
      <c r="D51" s="55">
        <v>6453.5529999999999</v>
      </c>
      <c r="E51" s="140"/>
      <c r="F51" s="140">
        <v>1600.739</v>
      </c>
      <c r="G51" s="140"/>
      <c r="H51" s="259">
        <v>804.875</v>
      </c>
      <c r="I51" s="259">
        <v>795.86400000000003</v>
      </c>
      <c r="J51" s="44">
        <f t="shared" si="1"/>
        <v>24.80399556647323</v>
      </c>
      <c r="K51" s="44">
        <f t="shared" si="0"/>
        <v>0.58928235738712176</v>
      </c>
    </row>
    <row r="52" spans="2:11" x14ac:dyDescent="0.35">
      <c r="B52" s="21">
        <v>45</v>
      </c>
      <c r="C52" s="137" t="s">
        <v>238</v>
      </c>
      <c r="D52" s="55">
        <v>11263.076999999999</v>
      </c>
      <c r="E52" s="140"/>
      <c r="F52" s="140">
        <v>1585.681</v>
      </c>
      <c r="G52" s="140"/>
      <c r="H52" s="259">
        <v>729.57500000000005</v>
      </c>
      <c r="I52" s="259">
        <v>856.10599999999999</v>
      </c>
      <c r="J52" s="44">
        <f t="shared" si="1"/>
        <v>14.078577283987318</v>
      </c>
      <c r="K52" s="44">
        <f t="shared" si="0"/>
        <v>0.58373903412359451</v>
      </c>
    </row>
    <row r="53" spans="2:11" x14ac:dyDescent="0.35">
      <c r="B53" s="21">
        <v>46</v>
      </c>
      <c r="C53" s="137" t="s">
        <v>127</v>
      </c>
      <c r="D53" s="55">
        <v>20321.378000000001</v>
      </c>
      <c r="E53" s="140"/>
      <c r="F53" s="140">
        <v>1581.0830000000001</v>
      </c>
      <c r="G53" s="140"/>
      <c r="H53" s="259">
        <v>697.02099999999996</v>
      </c>
      <c r="I53" s="259">
        <v>884.06200000000001</v>
      </c>
      <c r="J53" s="44">
        <f t="shared" si="1"/>
        <v>7.7803926485694035</v>
      </c>
      <c r="K53" s="44">
        <f t="shared" si="0"/>
        <v>0.58204636575025825</v>
      </c>
    </row>
    <row r="54" spans="2:11" ht="27" x14ac:dyDescent="0.35">
      <c r="B54" s="21">
        <v>47</v>
      </c>
      <c r="C54" s="137" t="s">
        <v>129</v>
      </c>
      <c r="D54" s="55">
        <v>10738.958000000001</v>
      </c>
      <c r="E54" s="140"/>
      <c r="F54" s="140">
        <v>1558.6679999999999</v>
      </c>
      <c r="G54" s="140"/>
      <c r="H54" s="259">
        <v>914.72900000000004</v>
      </c>
      <c r="I54" s="259">
        <v>643.93899999999996</v>
      </c>
      <c r="J54" s="44">
        <f t="shared" si="1"/>
        <v>14.514145599601003</v>
      </c>
      <c r="K54" s="44">
        <f t="shared" si="0"/>
        <v>0.57379469946310435</v>
      </c>
    </row>
    <row r="55" spans="2:11" x14ac:dyDescent="0.35">
      <c r="B55" s="21">
        <v>48</v>
      </c>
      <c r="C55" s="137" t="s">
        <v>171</v>
      </c>
      <c r="D55" s="55">
        <v>7000.1189999999997</v>
      </c>
      <c r="E55" s="140"/>
      <c r="F55" s="140">
        <v>1541.86</v>
      </c>
      <c r="G55" s="140"/>
      <c r="H55" s="259">
        <v>875.375</v>
      </c>
      <c r="I55" s="259">
        <v>666.48500000000001</v>
      </c>
      <c r="J55" s="44">
        <f t="shared" si="1"/>
        <v>22.026196983222711</v>
      </c>
      <c r="K55" s="44">
        <f t="shared" si="0"/>
        <v>0.56760714617492769</v>
      </c>
    </row>
    <row r="56" spans="2:11" x14ac:dyDescent="0.35">
      <c r="B56" s="21">
        <v>49</v>
      </c>
      <c r="C56" s="137" t="s">
        <v>124</v>
      </c>
      <c r="D56" s="55">
        <v>32510.453000000001</v>
      </c>
      <c r="E56" s="140"/>
      <c r="F56" s="140">
        <v>1512.92</v>
      </c>
      <c r="G56" s="140"/>
      <c r="H56" s="259">
        <v>878.37900000000002</v>
      </c>
      <c r="I56" s="259">
        <v>634.54100000000005</v>
      </c>
      <c r="J56" s="44">
        <f t="shared" si="1"/>
        <v>4.6536417071764573</v>
      </c>
      <c r="K56" s="44">
        <f t="shared" si="0"/>
        <v>0.55695342222443778</v>
      </c>
    </row>
    <row r="57" spans="2:11" x14ac:dyDescent="0.35">
      <c r="B57" s="21">
        <v>50</v>
      </c>
      <c r="C57" s="137" t="s">
        <v>114</v>
      </c>
      <c r="D57" s="55">
        <v>9452.4110000000001</v>
      </c>
      <c r="E57" s="140"/>
      <c r="F57" s="140">
        <v>1480.7940000000001</v>
      </c>
      <c r="G57" s="140"/>
      <c r="H57" s="259">
        <v>851.029</v>
      </c>
      <c r="I57" s="259">
        <v>629.76499999999999</v>
      </c>
      <c r="J57" s="44">
        <f t="shared" si="1"/>
        <v>15.665780931447015</v>
      </c>
      <c r="K57" s="44">
        <f t="shared" si="0"/>
        <v>0.54512683149764296</v>
      </c>
    </row>
    <row r="58" spans="2:11" x14ac:dyDescent="0.35">
      <c r="B58" s="21">
        <v>51</v>
      </c>
      <c r="C58" s="137" t="s">
        <v>25</v>
      </c>
      <c r="D58" s="55">
        <v>46736.775999999998</v>
      </c>
      <c r="E58" s="140"/>
      <c r="F58" s="140">
        <v>1444.942</v>
      </c>
      <c r="G58" s="140"/>
      <c r="H58" s="259">
        <v>778.49900000000002</v>
      </c>
      <c r="I58" s="259">
        <v>666.44299999999998</v>
      </c>
      <c r="J58" s="44">
        <f t="shared" si="1"/>
        <v>3.0916595530680167</v>
      </c>
      <c r="K58" s="44">
        <f t="shared" si="0"/>
        <v>0.53192858301550872</v>
      </c>
    </row>
    <row r="59" spans="2:11" x14ac:dyDescent="0.35">
      <c r="B59" s="21">
        <v>52</v>
      </c>
      <c r="C59" s="137" t="s">
        <v>108</v>
      </c>
      <c r="D59" s="55">
        <v>200963.59899999999</v>
      </c>
      <c r="E59" s="140"/>
      <c r="F59" s="140">
        <v>1438.3309999999999</v>
      </c>
      <c r="G59" s="140"/>
      <c r="H59" s="259">
        <v>680.48500000000001</v>
      </c>
      <c r="I59" s="259">
        <v>757.846</v>
      </c>
      <c r="J59" s="44">
        <f t="shared" si="1"/>
        <v>0.71571717821395109</v>
      </c>
      <c r="K59" s="44">
        <f t="shared" si="0"/>
        <v>0.52949486604810414</v>
      </c>
    </row>
    <row r="60" spans="2:11" ht="40.5" x14ac:dyDescent="0.35">
      <c r="B60" s="21">
        <v>53</v>
      </c>
      <c r="C60" s="137" t="s">
        <v>210</v>
      </c>
      <c r="D60" s="55">
        <v>7169.4549999999999</v>
      </c>
      <c r="E60" s="140"/>
      <c r="F60" s="140">
        <v>1347.0340000000001</v>
      </c>
      <c r="G60" s="140"/>
      <c r="H60" s="259">
        <v>750.81</v>
      </c>
      <c r="I60" s="259">
        <v>596.22400000000005</v>
      </c>
      <c r="J60" s="44">
        <f t="shared" si="1"/>
        <v>18.788513213347461</v>
      </c>
      <c r="K60" s="44">
        <f t="shared" si="0"/>
        <v>0.49588556972785958</v>
      </c>
    </row>
    <row r="61" spans="2:11" x14ac:dyDescent="0.35">
      <c r="B61" s="21">
        <v>54</v>
      </c>
      <c r="C61" s="137" t="s">
        <v>23</v>
      </c>
      <c r="D61" s="55">
        <v>37411.046999999999</v>
      </c>
      <c r="E61" s="140"/>
      <c r="F61" s="140">
        <v>1323.087</v>
      </c>
      <c r="G61" s="140"/>
      <c r="H61" s="259">
        <v>812.77300000000002</v>
      </c>
      <c r="I61" s="259">
        <v>510.31400000000002</v>
      </c>
      <c r="J61" s="44">
        <f t="shared" si="1"/>
        <v>3.5366211482934435</v>
      </c>
      <c r="K61" s="44">
        <f t="shared" si="0"/>
        <v>0.48706992607055533</v>
      </c>
    </row>
    <row r="62" spans="2:11" x14ac:dyDescent="0.35">
      <c r="B62" s="21">
        <v>55</v>
      </c>
      <c r="C62" s="137" t="s">
        <v>289</v>
      </c>
      <c r="D62" s="55">
        <v>82913.906000000003</v>
      </c>
      <c r="E62" s="140"/>
      <c r="F62" s="140">
        <v>1301.9749999999999</v>
      </c>
      <c r="G62" s="140"/>
      <c r="H62" s="259">
        <v>599.59</v>
      </c>
      <c r="I62" s="259">
        <v>702.38499999999999</v>
      </c>
      <c r="J62" s="44">
        <f t="shared" si="1"/>
        <v>1.5702733869515202</v>
      </c>
      <c r="K62" s="44">
        <f t="shared" si="0"/>
        <v>0.47929793505318335</v>
      </c>
    </row>
    <row r="63" spans="2:11" x14ac:dyDescent="0.35">
      <c r="B63" s="21">
        <v>56</v>
      </c>
      <c r="C63" s="137" t="s">
        <v>145</v>
      </c>
      <c r="D63" s="55">
        <v>29161.921999999999</v>
      </c>
      <c r="E63" s="140"/>
      <c r="F63" s="140">
        <v>1267.6099999999999</v>
      </c>
      <c r="G63" s="140"/>
      <c r="H63" s="259">
        <v>444.50799999999998</v>
      </c>
      <c r="I63" s="259">
        <v>823.10199999999998</v>
      </c>
      <c r="J63" s="44">
        <f t="shared" si="1"/>
        <v>4.3467985409192167</v>
      </c>
      <c r="K63" s="44">
        <f t="shared" si="0"/>
        <v>0.46664709802627996</v>
      </c>
    </row>
    <row r="64" spans="2:11" x14ac:dyDescent="0.35">
      <c r="B64" s="21">
        <v>57</v>
      </c>
      <c r="C64" s="137" t="s">
        <v>137</v>
      </c>
      <c r="D64" s="55">
        <v>19658.030999999999</v>
      </c>
      <c r="E64" s="140"/>
      <c r="F64" s="140">
        <v>1264.7</v>
      </c>
      <c r="G64" s="140"/>
      <c r="H64" s="259">
        <v>544.84100000000001</v>
      </c>
      <c r="I64" s="259">
        <v>719.85900000000004</v>
      </c>
      <c r="J64" s="44">
        <f t="shared" si="1"/>
        <v>6.4335029281416851</v>
      </c>
      <c r="K64" s="44">
        <f t="shared" si="0"/>
        <v>0.46557583552814852</v>
      </c>
    </row>
    <row r="65" spans="2:11" x14ac:dyDescent="0.35">
      <c r="B65" s="21">
        <v>58</v>
      </c>
      <c r="C65" s="137" t="s">
        <v>209</v>
      </c>
      <c r="D65" s="55">
        <v>2880.9169999999999</v>
      </c>
      <c r="E65" s="140"/>
      <c r="F65" s="140">
        <v>1207.0319999999999</v>
      </c>
      <c r="G65" s="140"/>
      <c r="H65" s="259">
        <v>587.87800000000004</v>
      </c>
      <c r="I65" s="259">
        <v>619.154</v>
      </c>
      <c r="J65" s="44">
        <f t="shared" si="1"/>
        <v>41.897493055162641</v>
      </c>
      <c r="K65" s="44">
        <f t="shared" si="0"/>
        <v>0.4443464314930119</v>
      </c>
    </row>
    <row r="66" spans="2:11" x14ac:dyDescent="0.35">
      <c r="B66" s="21">
        <v>59</v>
      </c>
      <c r="C66" s="137" t="s">
        <v>190</v>
      </c>
      <c r="D66" s="55">
        <v>17581.472000000002</v>
      </c>
      <c r="E66" s="140"/>
      <c r="F66" s="140">
        <v>1205.644</v>
      </c>
      <c r="G66" s="140"/>
      <c r="H66" s="259">
        <v>609.82399999999996</v>
      </c>
      <c r="I66" s="259">
        <v>595.82000000000005</v>
      </c>
      <c r="J66" s="44">
        <f t="shared" si="1"/>
        <v>6.8574690446852227</v>
      </c>
      <c r="K66" s="44">
        <f t="shared" si="0"/>
        <v>0.44383546505060406</v>
      </c>
    </row>
    <row r="67" spans="2:11" x14ac:dyDescent="0.35">
      <c r="B67" s="21">
        <v>60</v>
      </c>
      <c r="C67" s="137" t="s">
        <v>147</v>
      </c>
      <c r="D67" s="55">
        <v>17373.662</v>
      </c>
      <c r="E67" s="140"/>
      <c r="F67" s="140">
        <v>1183.6849999999999</v>
      </c>
      <c r="G67" s="140"/>
      <c r="H67" s="259">
        <v>625.96299999999997</v>
      </c>
      <c r="I67" s="259">
        <v>557.72199999999998</v>
      </c>
      <c r="J67" s="44">
        <f t="shared" si="1"/>
        <v>6.8131001972986462</v>
      </c>
      <c r="K67" s="44">
        <f t="shared" si="0"/>
        <v>0.43575166670130183</v>
      </c>
    </row>
    <row r="68" spans="2:11" x14ac:dyDescent="0.35">
      <c r="B68" s="21">
        <v>61</v>
      </c>
      <c r="C68" s="137" t="s">
        <v>155</v>
      </c>
      <c r="D68" s="55">
        <v>10047.718000000001</v>
      </c>
      <c r="E68" s="140"/>
      <c r="F68" s="140">
        <v>1155.8520000000001</v>
      </c>
      <c r="G68" s="140"/>
      <c r="H68" s="259">
        <v>533.80700000000002</v>
      </c>
      <c r="I68" s="259">
        <v>622.04499999999996</v>
      </c>
      <c r="J68" s="44">
        <f t="shared" si="1"/>
        <v>11.503626992716157</v>
      </c>
      <c r="K68" s="44">
        <f t="shared" si="0"/>
        <v>0.42550546425783309</v>
      </c>
    </row>
    <row r="69" spans="2:11" x14ac:dyDescent="0.35">
      <c r="B69" s="21">
        <v>62</v>
      </c>
      <c r="C69" s="137" t="s">
        <v>96</v>
      </c>
      <c r="D69" s="55">
        <v>25716.544000000002</v>
      </c>
      <c r="E69" s="140"/>
      <c r="F69" s="140">
        <v>1114.0029999999999</v>
      </c>
      <c r="G69" s="140"/>
      <c r="H69" s="259">
        <v>562.43399999999997</v>
      </c>
      <c r="I69" s="259">
        <v>551.56899999999996</v>
      </c>
      <c r="J69" s="44">
        <f t="shared" si="1"/>
        <v>4.331853455892051</v>
      </c>
      <c r="K69" s="44">
        <f t="shared" si="0"/>
        <v>0.41009953151408551</v>
      </c>
    </row>
    <row r="70" spans="2:11" x14ac:dyDescent="0.35">
      <c r="B70" s="21">
        <v>63</v>
      </c>
      <c r="C70" s="137" t="s">
        <v>233</v>
      </c>
      <c r="D70" s="55">
        <v>2948.279</v>
      </c>
      <c r="E70" s="140"/>
      <c r="F70" s="140">
        <v>1111.021</v>
      </c>
      <c r="G70" s="140"/>
      <c r="H70" s="259">
        <v>637.35699999999997</v>
      </c>
      <c r="I70" s="259">
        <v>473.66399999999999</v>
      </c>
      <c r="J70" s="44">
        <f t="shared" si="1"/>
        <v>37.683713108562657</v>
      </c>
      <c r="K70" s="44">
        <f t="shared" si="0"/>
        <v>0.40900176355208273</v>
      </c>
    </row>
    <row r="71" spans="2:11" ht="27" x14ac:dyDescent="0.35">
      <c r="B71" s="21">
        <v>64</v>
      </c>
      <c r="C71" s="137" t="s">
        <v>94</v>
      </c>
      <c r="D71" s="55">
        <v>7436.1540000000005</v>
      </c>
      <c r="E71" s="140"/>
      <c r="F71" s="140">
        <v>1110.3579999999999</v>
      </c>
      <c r="G71" s="140"/>
      <c r="H71" s="259">
        <v>533.42100000000005</v>
      </c>
      <c r="I71" s="259">
        <v>576.93700000000001</v>
      </c>
      <c r="J71" s="44">
        <f t="shared" si="1"/>
        <v>14.931885488116571</v>
      </c>
      <c r="K71" s="44">
        <f t="shared" si="0"/>
        <v>0.40875769240560123</v>
      </c>
    </row>
    <row r="72" spans="2:11" x14ac:dyDescent="0.35">
      <c r="B72" s="21">
        <v>65</v>
      </c>
      <c r="C72" s="137" t="s">
        <v>193</v>
      </c>
      <c r="D72" s="55">
        <v>16486.542000000001</v>
      </c>
      <c r="E72" s="140"/>
      <c r="F72" s="140">
        <v>1097.884</v>
      </c>
      <c r="G72" s="140"/>
      <c r="H72" s="259">
        <v>588.51800000000003</v>
      </c>
      <c r="I72" s="259">
        <v>509.36599999999999</v>
      </c>
      <c r="J72" s="44">
        <f t="shared" si="1"/>
        <v>6.6592739702479751</v>
      </c>
      <c r="K72" s="44">
        <f t="shared" si="0"/>
        <v>0.40416562078989943</v>
      </c>
    </row>
    <row r="73" spans="2:11" x14ac:dyDescent="0.35">
      <c r="B73" s="21">
        <v>66</v>
      </c>
      <c r="C73" s="137" t="s">
        <v>111</v>
      </c>
      <c r="D73" s="55">
        <v>10473.455</v>
      </c>
      <c r="E73" s="140"/>
      <c r="F73" s="140">
        <v>1039.2570000000001</v>
      </c>
      <c r="G73" s="140"/>
      <c r="H73" s="259">
        <v>496.05900000000003</v>
      </c>
      <c r="I73" s="259">
        <v>543.19799999999998</v>
      </c>
      <c r="J73" s="44">
        <f t="shared" si="1"/>
        <v>9.9227714254751653</v>
      </c>
      <c r="K73" s="44">
        <f t="shared" ref="K73:K136" si="2">(F73/$F$7)*100</f>
        <v>0.38258317870125486</v>
      </c>
    </row>
    <row r="74" spans="2:11" x14ac:dyDescent="0.35">
      <c r="B74" s="21">
        <v>67</v>
      </c>
      <c r="C74" s="137" t="s">
        <v>40</v>
      </c>
      <c r="D74" s="55">
        <v>69625.581999999995</v>
      </c>
      <c r="E74" s="140"/>
      <c r="F74" s="140">
        <v>1020.119</v>
      </c>
      <c r="G74" s="140"/>
      <c r="H74" s="259">
        <v>657.10900000000004</v>
      </c>
      <c r="I74" s="259">
        <v>363.01</v>
      </c>
      <c r="J74" s="44">
        <f t="shared" si="1"/>
        <v>1.4651496916751088</v>
      </c>
      <c r="K74" s="44">
        <f t="shared" si="2"/>
        <v>0.37553787915168763</v>
      </c>
    </row>
    <row r="75" spans="2:11" ht="27" x14ac:dyDescent="0.35">
      <c r="B75" s="21">
        <v>68</v>
      </c>
      <c r="C75" s="137" t="s">
        <v>182</v>
      </c>
      <c r="D75" s="55">
        <v>4043.2629999999999</v>
      </c>
      <c r="E75" s="140"/>
      <c r="F75" s="140">
        <v>1013.417</v>
      </c>
      <c r="G75" s="140"/>
      <c r="H75" s="259">
        <v>539.53200000000004</v>
      </c>
      <c r="I75" s="259">
        <v>473.88499999999999</v>
      </c>
      <c r="J75" s="44">
        <f t="shared" ref="J75:J138" si="3">(F75/D75)*100</f>
        <v>25.064335414243399</v>
      </c>
      <c r="K75" s="44">
        <f t="shared" si="2"/>
        <v>0.37307066222300123</v>
      </c>
    </row>
    <row r="76" spans="2:11" x14ac:dyDescent="0.35">
      <c r="B76" s="21">
        <v>69</v>
      </c>
      <c r="C76" s="137" t="s">
        <v>149</v>
      </c>
      <c r="D76" s="55">
        <v>30366.036</v>
      </c>
      <c r="E76" s="140"/>
      <c r="F76" s="140">
        <v>1013.4160000000001</v>
      </c>
      <c r="G76" s="140"/>
      <c r="H76" s="259">
        <v>360.34699999999998</v>
      </c>
      <c r="I76" s="259">
        <v>653.06899999999996</v>
      </c>
      <c r="J76" s="44">
        <f t="shared" si="3"/>
        <v>3.3373338554956598</v>
      </c>
      <c r="K76" s="44">
        <f t="shared" si="2"/>
        <v>0.37307029409155856</v>
      </c>
    </row>
    <row r="77" spans="2:11" x14ac:dyDescent="0.35">
      <c r="B77" s="21">
        <v>70</v>
      </c>
      <c r="C77" s="137" t="s">
        <v>85</v>
      </c>
      <c r="D77" s="55">
        <v>44780.677000000003</v>
      </c>
      <c r="E77" s="140"/>
      <c r="F77" s="140">
        <v>1013.414</v>
      </c>
      <c r="G77" s="140"/>
      <c r="H77" s="259">
        <v>523.322</v>
      </c>
      <c r="I77" s="259">
        <v>490.09199999999998</v>
      </c>
      <c r="J77" s="44">
        <f t="shared" si="3"/>
        <v>2.2630609179937138</v>
      </c>
      <c r="K77" s="44">
        <f t="shared" si="2"/>
        <v>0.37306955782867324</v>
      </c>
    </row>
    <row r="78" spans="2:11" x14ac:dyDescent="0.35">
      <c r="B78" s="21">
        <v>71</v>
      </c>
      <c r="C78" s="137" t="s">
        <v>82</v>
      </c>
      <c r="D78" s="55">
        <v>4130.3040000000001</v>
      </c>
      <c r="E78" s="140"/>
      <c r="F78" s="140">
        <v>990.01199999999994</v>
      </c>
      <c r="G78" s="140"/>
      <c r="H78" s="259">
        <v>511.54500000000002</v>
      </c>
      <c r="I78" s="259">
        <v>478.46699999999998</v>
      </c>
      <c r="J78" s="44">
        <f t="shared" si="3"/>
        <v>23.969470528077348</v>
      </c>
      <c r="K78" s="44">
        <f t="shared" si="2"/>
        <v>0.36445454580761705</v>
      </c>
    </row>
    <row r="79" spans="2:11" x14ac:dyDescent="0.35">
      <c r="B79" s="21">
        <v>72</v>
      </c>
      <c r="C79" s="137" t="s">
        <v>99</v>
      </c>
      <c r="D79" s="55">
        <v>17097.13</v>
      </c>
      <c r="E79" s="140"/>
      <c r="F79" s="140">
        <v>980.75300000000004</v>
      </c>
      <c r="G79" s="140"/>
      <c r="H79" s="259">
        <v>484.57799999999997</v>
      </c>
      <c r="I79" s="259">
        <v>496.17500000000001</v>
      </c>
      <c r="J79" s="44">
        <f t="shared" si="3"/>
        <v>5.73636043008388</v>
      </c>
      <c r="K79" s="44">
        <f t="shared" si="2"/>
        <v>0.3610460167800571</v>
      </c>
    </row>
    <row r="80" spans="2:11" x14ac:dyDescent="0.35">
      <c r="B80" s="21">
        <v>73</v>
      </c>
      <c r="C80" s="137" t="s">
        <v>138</v>
      </c>
      <c r="D80" s="55">
        <v>30417.856</v>
      </c>
      <c r="E80" s="140"/>
      <c r="F80" s="140">
        <v>970.625</v>
      </c>
      <c r="G80" s="140"/>
      <c r="H80" s="259">
        <v>460.262</v>
      </c>
      <c r="I80" s="259">
        <v>510.363</v>
      </c>
      <c r="J80" s="44">
        <f t="shared" si="3"/>
        <v>3.1909711190690104</v>
      </c>
      <c r="K80" s="44">
        <f t="shared" si="2"/>
        <v>0.35731758152882825</v>
      </c>
    </row>
    <row r="81" spans="2:11" x14ac:dyDescent="0.35">
      <c r="B81" s="21">
        <v>74</v>
      </c>
      <c r="C81" s="137" t="s">
        <v>166</v>
      </c>
      <c r="D81" s="55">
        <v>2957.7310000000002</v>
      </c>
      <c r="E81" s="140"/>
      <c r="F81" s="140">
        <v>964.84799999999996</v>
      </c>
      <c r="G81" s="140"/>
      <c r="H81" s="259">
        <v>447.55399999999997</v>
      </c>
      <c r="I81" s="259">
        <v>517.29399999999998</v>
      </c>
      <c r="J81" s="44">
        <f t="shared" si="3"/>
        <v>32.621222146300653</v>
      </c>
      <c r="K81" s="44">
        <f t="shared" si="2"/>
        <v>0.35519088618459949</v>
      </c>
    </row>
    <row r="82" spans="2:11" x14ac:dyDescent="0.35">
      <c r="B82" s="21">
        <v>75</v>
      </c>
      <c r="C82" s="137" t="s">
        <v>83</v>
      </c>
      <c r="D82" s="55">
        <v>8772.2350000000006</v>
      </c>
      <c r="E82" s="140"/>
      <c r="F82" s="140">
        <v>950.48500000000001</v>
      </c>
      <c r="G82" s="140"/>
      <c r="H82" s="259">
        <v>486.07900000000001</v>
      </c>
      <c r="I82" s="259">
        <v>464.40600000000001</v>
      </c>
      <c r="J82" s="44">
        <f t="shared" si="3"/>
        <v>10.835152045060353</v>
      </c>
      <c r="K82" s="44">
        <f t="shared" si="2"/>
        <v>0.34990341427371885</v>
      </c>
    </row>
    <row r="83" spans="2:11" x14ac:dyDescent="0.35">
      <c r="B83" s="21">
        <v>76</v>
      </c>
      <c r="C83" s="137" t="s">
        <v>141</v>
      </c>
      <c r="D83" s="55">
        <v>14645.468000000001</v>
      </c>
      <c r="E83" s="140"/>
      <c r="F83" s="140">
        <v>933.654</v>
      </c>
      <c r="G83" s="140"/>
      <c r="H83" s="259">
        <v>465.28100000000001</v>
      </c>
      <c r="I83" s="259">
        <v>468.37299999999999</v>
      </c>
      <c r="J83" s="44">
        <f t="shared" si="3"/>
        <v>6.375036973895269</v>
      </c>
      <c r="K83" s="44">
        <f t="shared" si="2"/>
        <v>0.343707393962361</v>
      </c>
    </row>
    <row r="84" spans="2:11" x14ac:dyDescent="0.35">
      <c r="B84" s="21">
        <v>77</v>
      </c>
      <c r="C84" s="137" t="s">
        <v>131</v>
      </c>
      <c r="D84" s="55">
        <v>10689.209000000001</v>
      </c>
      <c r="E84" s="140"/>
      <c r="F84" s="140">
        <v>911.38800000000003</v>
      </c>
      <c r="G84" s="140"/>
      <c r="H84" s="259">
        <v>508.93099999999998</v>
      </c>
      <c r="I84" s="259">
        <v>402.45699999999999</v>
      </c>
      <c r="J84" s="44">
        <f t="shared" si="3"/>
        <v>8.5262436163424251</v>
      </c>
      <c r="K84" s="44">
        <f t="shared" si="2"/>
        <v>0.33551057926016303</v>
      </c>
    </row>
    <row r="85" spans="2:11" x14ac:dyDescent="0.35">
      <c r="B85" s="21">
        <v>78</v>
      </c>
      <c r="C85" s="137" t="s">
        <v>282</v>
      </c>
      <c r="D85" s="55">
        <v>11513.1</v>
      </c>
      <c r="E85" s="140"/>
      <c r="F85" s="140">
        <v>878.21100000000001</v>
      </c>
      <c r="G85" s="140"/>
      <c r="H85" s="259">
        <v>462.15800000000002</v>
      </c>
      <c r="I85" s="259">
        <v>416.053</v>
      </c>
      <c r="J85" s="44">
        <f t="shared" si="3"/>
        <v>7.6279281861531638</v>
      </c>
      <c r="K85" s="44">
        <f t="shared" si="2"/>
        <v>0.32329708238713589</v>
      </c>
    </row>
    <row r="86" spans="2:11" x14ac:dyDescent="0.35">
      <c r="B86" s="21">
        <v>79</v>
      </c>
      <c r="C86" s="137" t="s">
        <v>109</v>
      </c>
      <c r="D86" s="55">
        <v>112078.73</v>
      </c>
      <c r="E86" s="140"/>
      <c r="F86" s="140">
        <v>871.74699999999996</v>
      </c>
      <c r="G86" s="140"/>
      <c r="H86" s="259">
        <v>408.22399999999999</v>
      </c>
      <c r="I86" s="259">
        <v>463.52300000000002</v>
      </c>
      <c r="J86" s="44">
        <f t="shared" si="3"/>
        <v>0.7777987848363378</v>
      </c>
      <c r="K86" s="44">
        <f t="shared" si="2"/>
        <v>0.32091748074180187</v>
      </c>
    </row>
    <row r="87" spans="2:11" x14ac:dyDescent="0.35">
      <c r="B87" s="21">
        <v>80</v>
      </c>
      <c r="C87" s="137" t="s">
        <v>172</v>
      </c>
      <c r="D87" s="55">
        <v>7044.6360000000004</v>
      </c>
      <c r="E87" s="140"/>
      <c r="F87" s="140">
        <v>871.63800000000003</v>
      </c>
      <c r="G87" s="140"/>
      <c r="H87" s="259">
        <v>499.36799999999999</v>
      </c>
      <c r="I87" s="259">
        <v>372.27</v>
      </c>
      <c r="J87" s="44">
        <f t="shared" si="3"/>
        <v>12.373073640710464</v>
      </c>
      <c r="K87" s="44">
        <f t="shared" si="2"/>
        <v>0.32087735441455228</v>
      </c>
    </row>
    <row r="88" spans="2:11" x14ac:dyDescent="0.35">
      <c r="B88" s="21">
        <v>81</v>
      </c>
      <c r="C88" s="137" t="s">
        <v>192</v>
      </c>
      <c r="D88" s="55">
        <v>3996.7649999999999</v>
      </c>
      <c r="E88" s="140"/>
      <c r="F88" s="140">
        <v>852.81600000000003</v>
      </c>
      <c r="G88" s="140"/>
      <c r="H88" s="259">
        <v>427.68900000000002</v>
      </c>
      <c r="I88" s="259">
        <v>425.12700000000001</v>
      </c>
      <c r="J88" s="44">
        <f t="shared" si="3"/>
        <v>21.337656829961233</v>
      </c>
      <c r="K88" s="44">
        <f t="shared" si="2"/>
        <v>0.31394838440086459</v>
      </c>
    </row>
    <row r="89" spans="2:11" x14ac:dyDescent="0.35">
      <c r="B89" s="21">
        <v>82</v>
      </c>
      <c r="C89" s="137" t="s">
        <v>105</v>
      </c>
      <c r="D89" s="55">
        <v>6855.7129999999997</v>
      </c>
      <c r="E89" s="140"/>
      <c r="F89" s="140">
        <v>844.15800000000002</v>
      </c>
      <c r="G89" s="140"/>
      <c r="H89" s="259">
        <v>344.7</v>
      </c>
      <c r="I89" s="259">
        <v>499.45800000000003</v>
      </c>
      <c r="J89" s="44">
        <f t="shared" si="3"/>
        <v>12.313205059780071</v>
      </c>
      <c r="K89" s="44">
        <f t="shared" si="2"/>
        <v>0.31076110237034138</v>
      </c>
    </row>
    <row r="90" spans="2:11" x14ac:dyDescent="0.35">
      <c r="B90" s="21">
        <v>83</v>
      </c>
      <c r="C90" s="137" t="s">
        <v>97</v>
      </c>
      <c r="D90" s="55">
        <v>126860.30100000001</v>
      </c>
      <c r="E90" s="140"/>
      <c r="F90" s="140">
        <v>838.85199999999998</v>
      </c>
      <c r="G90" s="140"/>
      <c r="H90" s="259">
        <v>459.98700000000002</v>
      </c>
      <c r="I90" s="259">
        <v>378.86500000000001</v>
      </c>
      <c r="J90" s="44">
        <f t="shared" si="3"/>
        <v>0.66124074544013567</v>
      </c>
      <c r="K90" s="44">
        <f t="shared" si="2"/>
        <v>0.30880779693560401</v>
      </c>
    </row>
    <row r="91" spans="2:11" x14ac:dyDescent="0.35">
      <c r="B91" s="21">
        <v>84</v>
      </c>
      <c r="C91" s="137" t="s">
        <v>72</v>
      </c>
      <c r="D91" s="55">
        <v>58558.27</v>
      </c>
      <c r="E91" s="140"/>
      <c r="F91" s="140">
        <v>824.601</v>
      </c>
      <c r="G91" s="140"/>
      <c r="H91" s="259">
        <v>427.27699999999999</v>
      </c>
      <c r="I91" s="259">
        <v>397.32400000000001</v>
      </c>
      <c r="J91" s="44">
        <f t="shared" si="3"/>
        <v>1.4081717236523552</v>
      </c>
      <c r="K91" s="44">
        <f t="shared" si="2"/>
        <v>0.30356155574630089</v>
      </c>
    </row>
    <row r="92" spans="2:11" x14ac:dyDescent="0.35">
      <c r="B92" s="21">
        <v>85</v>
      </c>
      <c r="C92" s="137" t="s">
        <v>121</v>
      </c>
      <c r="D92" s="55">
        <v>4882.4949999999999</v>
      </c>
      <c r="E92" s="140"/>
      <c r="F92" s="140">
        <v>816.79700000000003</v>
      </c>
      <c r="G92" s="140"/>
      <c r="H92" s="259">
        <v>444.4</v>
      </c>
      <c r="I92" s="259">
        <v>372.39699999999999</v>
      </c>
      <c r="J92" s="44">
        <f t="shared" si="3"/>
        <v>16.729090352371074</v>
      </c>
      <c r="K92" s="44">
        <f t="shared" si="2"/>
        <v>0.30068865796780669</v>
      </c>
    </row>
    <row r="93" spans="2:11" x14ac:dyDescent="0.35">
      <c r="B93" s="21">
        <v>86</v>
      </c>
      <c r="C93" s="137" t="s">
        <v>203</v>
      </c>
      <c r="D93" s="55">
        <v>11694.718999999999</v>
      </c>
      <c r="E93" s="140"/>
      <c r="F93" s="140">
        <v>813.21299999999997</v>
      </c>
      <c r="G93" s="140"/>
      <c r="H93" s="259">
        <v>356.84699999999998</v>
      </c>
      <c r="I93" s="259">
        <v>456.36599999999999</v>
      </c>
      <c r="J93" s="44">
        <f t="shared" si="3"/>
        <v>6.95367712554701</v>
      </c>
      <c r="K93" s="44">
        <f t="shared" si="2"/>
        <v>0.2993692748773244</v>
      </c>
    </row>
    <row r="94" spans="2:11" x14ac:dyDescent="0.35">
      <c r="B94" s="21">
        <v>87</v>
      </c>
      <c r="C94" s="137" t="s">
        <v>217</v>
      </c>
      <c r="D94" s="55">
        <v>9746.1170000000002</v>
      </c>
      <c r="E94" s="140"/>
      <c r="F94" s="140">
        <v>800.70699999999999</v>
      </c>
      <c r="G94" s="140"/>
      <c r="H94" s="259">
        <v>472.012</v>
      </c>
      <c r="I94" s="259">
        <v>328.69499999999999</v>
      </c>
      <c r="J94" s="44">
        <f t="shared" si="3"/>
        <v>8.2156514230231377</v>
      </c>
      <c r="K94" s="44">
        <f t="shared" si="2"/>
        <v>0.29476542305545755</v>
      </c>
    </row>
    <row r="95" spans="2:11" x14ac:dyDescent="0.35">
      <c r="B95" s="21">
        <v>88</v>
      </c>
      <c r="C95" s="137" t="s">
        <v>288</v>
      </c>
      <c r="D95" s="55">
        <v>10101.694</v>
      </c>
      <c r="E95" s="140"/>
      <c r="F95" s="140">
        <v>784.37699999999995</v>
      </c>
      <c r="G95" s="140"/>
      <c r="H95" s="259">
        <v>284.05500000000001</v>
      </c>
      <c r="I95" s="259">
        <v>500.322</v>
      </c>
      <c r="J95" s="44">
        <f t="shared" si="3"/>
        <v>7.7648065760059639</v>
      </c>
      <c r="K95" s="44">
        <f t="shared" si="2"/>
        <v>0.28875383659687076</v>
      </c>
    </row>
    <row r="96" spans="2:11" x14ac:dyDescent="0.35">
      <c r="B96" s="21">
        <v>89</v>
      </c>
      <c r="C96" s="137" t="s">
        <v>115</v>
      </c>
      <c r="D96" s="55">
        <v>4783.0630000000001</v>
      </c>
      <c r="E96" s="140"/>
      <c r="F96" s="140">
        <v>777.303</v>
      </c>
      <c r="G96" s="140"/>
      <c r="H96" s="259">
        <v>384.50099999999998</v>
      </c>
      <c r="I96" s="259">
        <v>392.80200000000002</v>
      </c>
      <c r="J96" s="44">
        <f t="shared" si="3"/>
        <v>16.251155378885873</v>
      </c>
      <c r="K96" s="44">
        <f t="shared" si="2"/>
        <v>0.28614967477151609</v>
      </c>
    </row>
    <row r="97" spans="2:11" ht="27" x14ac:dyDescent="0.35">
      <c r="B97" s="21">
        <v>90</v>
      </c>
      <c r="C97" s="137" t="s">
        <v>186</v>
      </c>
      <c r="D97" s="55">
        <v>4745.1850000000004</v>
      </c>
      <c r="E97" s="140"/>
      <c r="F97" s="140">
        <v>767.88400000000001</v>
      </c>
      <c r="G97" s="140"/>
      <c r="H97" s="259">
        <v>382.17700000000002</v>
      </c>
      <c r="I97" s="259">
        <v>385.70699999999999</v>
      </c>
      <c r="J97" s="44">
        <f t="shared" si="3"/>
        <v>16.18238277327438</v>
      </c>
      <c r="K97" s="44">
        <f t="shared" si="2"/>
        <v>0.28268224471313097</v>
      </c>
    </row>
    <row r="98" spans="2:11" x14ac:dyDescent="0.35">
      <c r="B98" s="21">
        <v>91</v>
      </c>
      <c r="C98" s="137" t="s">
        <v>162</v>
      </c>
      <c r="D98" s="55">
        <v>6415.85</v>
      </c>
      <c r="E98" s="140"/>
      <c r="F98" s="140">
        <v>754.96900000000005</v>
      </c>
      <c r="G98" s="140"/>
      <c r="H98" s="259">
        <v>392.94499999999999</v>
      </c>
      <c r="I98" s="259">
        <v>362.024</v>
      </c>
      <c r="J98" s="44">
        <f t="shared" si="3"/>
        <v>11.767248299134176</v>
      </c>
      <c r="K98" s="44">
        <f t="shared" si="2"/>
        <v>0.27792782713121744</v>
      </c>
    </row>
    <row r="99" spans="2:11" x14ac:dyDescent="0.35">
      <c r="B99" s="21">
        <v>92</v>
      </c>
      <c r="C99" s="137" t="s">
        <v>239</v>
      </c>
      <c r="D99" s="55">
        <v>3497.1170000000002</v>
      </c>
      <c r="E99" s="140"/>
      <c r="F99" s="140">
        <v>751.48099999999999</v>
      </c>
      <c r="G99" s="140"/>
      <c r="H99" s="259">
        <v>350.55900000000003</v>
      </c>
      <c r="I99" s="259">
        <v>400.92200000000003</v>
      </c>
      <c r="J99" s="44">
        <f t="shared" si="3"/>
        <v>21.488586169693491</v>
      </c>
      <c r="K99" s="44">
        <f t="shared" si="2"/>
        <v>0.27664378465923029</v>
      </c>
    </row>
    <row r="100" spans="2:11" x14ac:dyDescent="0.35">
      <c r="B100" s="21">
        <v>93</v>
      </c>
      <c r="C100" s="137" t="s">
        <v>107</v>
      </c>
      <c r="D100" s="55">
        <v>44269.593999999997</v>
      </c>
      <c r="E100" s="140"/>
      <c r="F100" s="140">
        <v>734.95100000000002</v>
      </c>
      <c r="G100" s="140"/>
      <c r="H100" s="259">
        <v>375.839</v>
      </c>
      <c r="I100" s="259">
        <v>359.11200000000002</v>
      </c>
      <c r="J100" s="44">
        <f t="shared" si="3"/>
        <v>1.6601710871800635</v>
      </c>
      <c r="K100" s="44">
        <f t="shared" si="2"/>
        <v>0.27055857191211213</v>
      </c>
    </row>
    <row r="101" spans="2:11" x14ac:dyDescent="0.35">
      <c r="B101" s="21">
        <v>94</v>
      </c>
      <c r="C101" s="137" t="s">
        <v>214</v>
      </c>
      <c r="D101" s="55">
        <v>6545.5020000000004</v>
      </c>
      <c r="E101" s="140"/>
      <c r="F101" s="140">
        <v>682.86500000000001</v>
      </c>
      <c r="G101" s="140"/>
      <c r="H101" s="259">
        <v>366.99599999999998</v>
      </c>
      <c r="I101" s="259">
        <v>315.86900000000003</v>
      </c>
      <c r="J101" s="44">
        <f t="shared" si="3"/>
        <v>10.432584085987598</v>
      </c>
      <c r="K101" s="44">
        <f t="shared" si="2"/>
        <v>0.25138407758988623</v>
      </c>
    </row>
    <row r="102" spans="2:11" x14ac:dyDescent="0.35">
      <c r="B102" s="21">
        <v>95</v>
      </c>
      <c r="C102" s="137" t="s">
        <v>95</v>
      </c>
      <c r="D102" s="55">
        <v>8591.3649999999998</v>
      </c>
      <c r="E102" s="140"/>
      <c r="F102" s="140">
        <v>679.79600000000005</v>
      </c>
      <c r="G102" s="140"/>
      <c r="H102" s="259">
        <v>367.25099999999998</v>
      </c>
      <c r="I102" s="259">
        <v>312.54500000000002</v>
      </c>
      <c r="J102" s="44">
        <f t="shared" si="3"/>
        <v>7.9125494028015346</v>
      </c>
      <c r="K102" s="44">
        <f t="shared" si="2"/>
        <v>0.25025428219237228</v>
      </c>
    </row>
    <row r="103" spans="2:11" x14ac:dyDescent="0.35">
      <c r="B103" s="21">
        <v>96</v>
      </c>
      <c r="C103" s="137" t="s">
        <v>144</v>
      </c>
      <c r="D103" s="55">
        <v>11801.151</v>
      </c>
      <c r="E103" s="140"/>
      <c r="F103" s="140">
        <v>666.35699999999997</v>
      </c>
      <c r="G103" s="140"/>
      <c r="H103" s="259">
        <v>307.62799999999999</v>
      </c>
      <c r="I103" s="259">
        <v>358.72899999999998</v>
      </c>
      <c r="J103" s="44">
        <f t="shared" si="3"/>
        <v>5.6465424431904987</v>
      </c>
      <c r="K103" s="44">
        <f t="shared" si="2"/>
        <v>0.24530696373450653</v>
      </c>
    </row>
    <row r="104" spans="2:11" x14ac:dyDescent="0.35">
      <c r="B104" s="21">
        <v>97</v>
      </c>
      <c r="C104" s="137" t="s">
        <v>128</v>
      </c>
      <c r="D104" s="55">
        <v>31825.294999999998</v>
      </c>
      <c r="E104" s="140"/>
      <c r="F104" s="140">
        <v>661.59</v>
      </c>
      <c r="G104" s="140"/>
      <c r="H104" s="259">
        <v>336.03100000000001</v>
      </c>
      <c r="I104" s="259">
        <v>325.55900000000003</v>
      </c>
      <c r="J104" s="44">
        <f t="shared" si="3"/>
        <v>2.078818122502871</v>
      </c>
      <c r="K104" s="44">
        <f t="shared" si="2"/>
        <v>0.24355208114736124</v>
      </c>
    </row>
    <row r="105" spans="2:11" x14ac:dyDescent="0.35">
      <c r="B105" s="21">
        <v>98</v>
      </c>
      <c r="C105" s="137" t="s">
        <v>173</v>
      </c>
      <c r="D105" s="55">
        <v>2083.4589999999998</v>
      </c>
      <c r="E105" s="140"/>
      <c r="F105" s="140">
        <v>658.26400000000001</v>
      </c>
      <c r="G105" s="140"/>
      <c r="H105" s="259">
        <v>308.78500000000003</v>
      </c>
      <c r="I105" s="259">
        <v>349.47899999999998</v>
      </c>
      <c r="J105" s="44">
        <f t="shared" si="3"/>
        <v>31.594766203702594</v>
      </c>
      <c r="K105" s="44">
        <f t="shared" si="2"/>
        <v>0.24232767596908447</v>
      </c>
    </row>
    <row r="106" spans="2:11" x14ac:dyDescent="0.35">
      <c r="B106" s="21">
        <v>99</v>
      </c>
      <c r="C106" s="137" t="s">
        <v>84</v>
      </c>
      <c r="D106" s="55">
        <v>18952.038</v>
      </c>
      <c r="E106" s="140"/>
      <c r="F106" s="140">
        <v>650.15099999999995</v>
      </c>
      <c r="G106" s="140"/>
      <c r="H106" s="259">
        <v>344.32900000000001</v>
      </c>
      <c r="I106" s="259">
        <v>305.822</v>
      </c>
      <c r="J106" s="44">
        <f t="shared" si="3"/>
        <v>3.4305070515371483</v>
      </c>
      <c r="K106" s="44">
        <f t="shared" si="2"/>
        <v>0.23934102557480924</v>
      </c>
    </row>
    <row r="107" spans="2:11" x14ac:dyDescent="0.35">
      <c r="B107" s="21">
        <v>100</v>
      </c>
      <c r="C107" s="137" t="s">
        <v>153</v>
      </c>
      <c r="D107" s="55">
        <v>16296.364</v>
      </c>
      <c r="E107" s="140"/>
      <c r="F107" s="140">
        <v>642.654</v>
      </c>
      <c r="G107" s="140"/>
      <c r="H107" s="259">
        <v>245.834</v>
      </c>
      <c r="I107" s="259">
        <v>396.82</v>
      </c>
      <c r="J107" s="44">
        <f t="shared" si="3"/>
        <v>3.9435422527380957</v>
      </c>
      <c r="K107" s="44">
        <f t="shared" si="2"/>
        <v>0.23658114414921066</v>
      </c>
    </row>
    <row r="108" spans="2:11" x14ac:dyDescent="0.35">
      <c r="B108" s="21">
        <v>101</v>
      </c>
      <c r="C108" s="137" t="s">
        <v>189</v>
      </c>
      <c r="D108" s="55">
        <v>3461.7339999999999</v>
      </c>
      <c r="E108" s="140"/>
      <c r="F108" s="140">
        <v>633.43899999999996</v>
      </c>
      <c r="G108" s="140"/>
      <c r="H108" s="259">
        <v>341.98899999999998</v>
      </c>
      <c r="I108" s="259">
        <v>291.45</v>
      </c>
      <c r="J108" s="44">
        <f t="shared" si="3"/>
        <v>18.29831523739259</v>
      </c>
      <c r="K108" s="44">
        <f t="shared" si="2"/>
        <v>0.23318881290512755</v>
      </c>
    </row>
    <row r="109" spans="2:11" x14ac:dyDescent="0.35">
      <c r="B109" s="21">
        <v>102</v>
      </c>
      <c r="C109" s="137" t="s">
        <v>133</v>
      </c>
      <c r="D109" s="55">
        <v>9684.6790000000001</v>
      </c>
      <c r="E109" s="140"/>
      <c r="F109" s="140">
        <v>632.12599999999998</v>
      </c>
      <c r="G109" s="140"/>
      <c r="H109" s="259">
        <v>316.303</v>
      </c>
      <c r="I109" s="259">
        <v>315.82299999999998</v>
      </c>
      <c r="J109" s="44">
        <f t="shared" si="3"/>
        <v>6.5270722963559251</v>
      </c>
      <c r="K109" s="44">
        <f t="shared" si="2"/>
        <v>0.2327054563209191</v>
      </c>
    </row>
    <row r="110" spans="2:11" x14ac:dyDescent="0.35">
      <c r="B110" s="21">
        <v>103</v>
      </c>
      <c r="C110" s="137" t="s">
        <v>150</v>
      </c>
      <c r="D110" s="55">
        <v>11530.58</v>
      </c>
      <c r="E110" s="140"/>
      <c r="F110" s="140">
        <v>623.99900000000002</v>
      </c>
      <c r="G110" s="140"/>
      <c r="H110" s="259">
        <v>317.68099999999998</v>
      </c>
      <c r="I110" s="259">
        <v>306.31799999999998</v>
      </c>
      <c r="J110" s="44">
        <f t="shared" si="3"/>
        <v>5.4116878769324703</v>
      </c>
      <c r="K110" s="44">
        <f t="shared" si="2"/>
        <v>0.2297136520864467</v>
      </c>
    </row>
    <row r="111" spans="2:11" x14ac:dyDescent="0.35">
      <c r="B111" s="21">
        <v>104</v>
      </c>
      <c r="C111" s="137" t="s">
        <v>177</v>
      </c>
      <c r="D111" s="55">
        <v>2759.627</v>
      </c>
      <c r="E111" s="140"/>
      <c r="F111" s="140">
        <v>610.22299999999996</v>
      </c>
      <c r="G111" s="140"/>
      <c r="H111" s="259">
        <v>336.47800000000001</v>
      </c>
      <c r="I111" s="259">
        <v>273.745</v>
      </c>
      <c r="J111" s="44">
        <f t="shared" si="3"/>
        <v>22.112517380066219</v>
      </c>
      <c r="K111" s="44">
        <f t="shared" si="2"/>
        <v>0.22464227333240555</v>
      </c>
    </row>
    <row r="112" spans="2:11" x14ac:dyDescent="0.35">
      <c r="B112" s="21">
        <v>105</v>
      </c>
      <c r="C112" s="137" t="s">
        <v>154</v>
      </c>
      <c r="D112" s="55">
        <v>9321.018</v>
      </c>
      <c r="E112" s="140"/>
      <c r="F112" s="140">
        <v>597.95899999999995</v>
      </c>
      <c r="G112" s="140"/>
      <c r="H112" s="259">
        <v>254.126</v>
      </c>
      <c r="I112" s="259">
        <v>343.83300000000003</v>
      </c>
      <c r="J112" s="44">
        <f t="shared" si="3"/>
        <v>6.4151683861140478</v>
      </c>
      <c r="K112" s="44">
        <f t="shared" si="2"/>
        <v>0.22012750931966166</v>
      </c>
    </row>
    <row r="113" spans="2:11" x14ac:dyDescent="0.35">
      <c r="B113" s="21">
        <v>106</v>
      </c>
      <c r="C113" s="137" t="s">
        <v>130</v>
      </c>
      <c r="D113" s="55">
        <v>12626.95</v>
      </c>
      <c r="E113" s="140"/>
      <c r="F113" s="140">
        <v>588.54399999999998</v>
      </c>
      <c r="G113" s="140"/>
      <c r="H113" s="259">
        <v>302.24799999999999</v>
      </c>
      <c r="I113" s="259">
        <v>286.29599999999999</v>
      </c>
      <c r="J113" s="44">
        <f t="shared" si="3"/>
        <v>4.6610147343578614</v>
      </c>
      <c r="K113" s="44">
        <f t="shared" si="2"/>
        <v>0.21666155178704719</v>
      </c>
    </row>
    <row r="114" spans="2:11" x14ac:dyDescent="0.35">
      <c r="B114" s="21">
        <v>107</v>
      </c>
      <c r="C114" s="137" t="s">
        <v>103</v>
      </c>
      <c r="D114" s="55">
        <v>11539.328</v>
      </c>
      <c r="E114" s="140"/>
      <c r="F114" s="140">
        <v>581.74</v>
      </c>
      <c r="G114" s="140"/>
      <c r="H114" s="259">
        <v>304.64699999999999</v>
      </c>
      <c r="I114" s="259">
        <v>277.09300000000002</v>
      </c>
      <c r="J114" s="44">
        <f t="shared" si="3"/>
        <v>5.0413680935319638</v>
      </c>
      <c r="K114" s="44">
        <f t="shared" si="2"/>
        <v>0.21415678545120984</v>
      </c>
    </row>
    <row r="115" spans="2:11" x14ac:dyDescent="0.35">
      <c r="B115" s="21">
        <v>108</v>
      </c>
      <c r="C115" s="137" t="s">
        <v>28</v>
      </c>
      <c r="D115" s="55">
        <v>25203.198</v>
      </c>
      <c r="E115" s="140"/>
      <c r="F115" s="140">
        <v>577.255</v>
      </c>
      <c r="G115" s="140"/>
      <c r="H115" s="259">
        <v>299.83499999999998</v>
      </c>
      <c r="I115" s="259">
        <v>277.42</v>
      </c>
      <c r="J115" s="44">
        <f t="shared" si="3"/>
        <v>2.290403781297913</v>
      </c>
      <c r="K115" s="44">
        <f t="shared" si="2"/>
        <v>0.21250571593089376</v>
      </c>
    </row>
    <row r="116" spans="2:11" x14ac:dyDescent="0.35">
      <c r="B116" s="21">
        <v>109</v>
      </c>
      <c r="C116" s="137" t="s">
        <v>106</v>
      </c>
      <c r="D116" s="55">
        <v>8955.1020000000008</v>
      </c>
      <c r="E116" s="140"/>
      <c r="F116" s="140">
        <v>575.95000000000005</v>
      </c>
      <c r="G116" s="140"/>
      <c r="H116" s="259">
        <v>307.88299999999998</v>
      </c>
      <c r="I116" s="259">
        <v>268.06700000000001</v>
      </c>
      <c r="J116" s="44">
        <f t="shared" si="3"/>
        <v>6.4315291997790753</v>
      </c>
      <c r="K116" s="44">
        <f t="shared" si="2"/>
        <v>0.21202530439822656</v>
      </c>
    </row>
    <row r="117" spans="2:11" x14ac:dyDescent="0.35">
      <c r="B117" s="21">
        <v>110</v>
      </c>
      <c r="C117" s="137" t="s">
        <v>281</v>
      </c>
      <c r="D117" s="55">
        <v>8082.366</v>
      </c>
      <c r="E117" s="140"/>
      <c r="F117" s="140">
        <v>543.27700000000004</v>
      </c>
      <c r="G117" s="140"/>
      <c r="H117" s="259">
        <v>274.61799999999999</v>
      </c>
      <c r="I117" s="259">
        <v>268.65899999999999</v>
      </c>
      <c r="J117" s="44">
        <f t="shared" si="3"/>
        <v>6.7217569706692331</v>
      </c>
      <c r="K117" s="44">
        <f t="shared" si="2"/>
        <v>0.19999734577229852</v>
      </c>
    </row>
    <row r="118" spans="2:11" x14ac:dyDescent="0.35">
      <c r="B118" s="21">
        <v>111</v>
      </c>
      <c r="C118" s="137" t="s">
        <v>175</v>
      </c>
      <c r="D118" s="55">
        <v>12771.245999999999</v>
      </c>
      <c r="E118" s="140"/>
      <c r="F118" s="140">
        <v>530.96299999999997</v>
      </c>
      <c r="G118" s="140"/>
      <c r="H118" s="259">
        <v>232.625</v>
      </c>
      <c r="I118" s="259">
        <v>298.33800000000002</v>
      </c>
      <c r="J118" s="44">
        <f t="shared" si="3"/>
        <v>4.1574878441774592</v>
      </c>
      <c r="K118" s="44">
        <f t="shared" si="2"/>
        <v>0.19546417518742173</v>
      </c>
    </row>
    <row r="119" spans="2:11" x14ac:dyDescent="0.35">
      <c r="B119" s="21">
        <v>112</v>
      </c>
      <c r="C119" s="137" t="s">
        <v>116</v>
      </c>
      <c r="D119" s="55">
        <v>52573.972999999998</v>
      </c>
      <c r="E119" s="140"/>
      <c r="F119" s="140">
        <v>525.43700000000001</v>
      </c>
      <c r="G119" s="140"/>
      <c r="H119" s="259">
        <v>278.19299999999998</v>
      </c>
      <c r="I119" s="259">
        <v>247.244</v>
      </c>
      <c r="J119" s="44">
        <f t="shared" si="3"/>
        <v>0.9994241827605459</v>
      </c>
      <c r="K119" s="44">
        <f t="shared" si="2"/>
        <v>0.19342988083529988</v>
      </c>
    </row>
    <row r="120" spans="2:11" x14ac:dyDescent="0.35">
      <c r="B120" s="21">
        <v>113</v>
      </c>
      <c r="C120" s="137" t="s">
        <v>240</v>
      </c>
      <c r="D120" s="55">
        <v>782.76599999999996</v>
      </c>
      <c r="E120" s="140"/>
      <c r="F120" s="140">
        <v>520.19600000000003</v>
      </c>
      <c r="G120" s="140"/>
      <c r="H120" s="259">
        <v>281.45499999999998</v>
      </c>
      <c r="I120" s="259">
        <v>238.74100000000001</v>
      </c>
      <c r="J120" s="44">
        <f t="shared" si="3"/>
        <v>66.456131206516389</v>
      </c>
      <c r="K120" s="44">
        <f t="shared" si="2"/>
        <v>0.19150050394433521</v>
      </c>
    </row>
    <row r="121" spans="2:11" x14ac:dyDescent="0.35">
      <c r="B121" s="21">
        <v>114</v>
      </c>
      <c r="C121" s="137" t="s">
        <v>170</v>
      </c>
      <c r="D121" s="55">
        <v>17861.03</v>
      </c>
      <c r="E121" s="140"/>
      <c r="F121" s="140">
        <v>493.08699999999999</v>
      </c>
      <c r="G121" s="140"/>
      <c r="H121" s="259">
        <v>262.36599999999999</v>
      </c>
      <c r="I121" s="259">
        <v>230.721</v>
      </c>
      <c r="J121" s="44">
        <f t="shared" si="3"/>
        <v>2.7606862538162695</v>
      </c>
      <c r="K121" s="44">
        <f t="shared" si="2"/>
        <v>0.18152082866534999</v>
      </c>
    </row>
    <row r="122" spans="2:11" x14ac:dyDescent="0.35">
      <c r="B122" s="21">
        <v>115</v>
      </c>
      <c r="C122" s="137" t="s">
        <v>211</v>
      </c>
      <c r="D122" s="55">
        <v>581.37199999999996</v>
      </c>
      <c r="E122" s="140"/>
      <c r="F122" s="140">
        <v>423.517</v>
      </c>
      <c r="G122" s="140"/>
      <c r="H122" s="259">
        <v>229.43700000000001</v>
      </c>
      <c r="I122" s="259">
        <v>194.08</v>
      </c>
      <c r="J122" s="44">
        <f t="shared" si="3"/>
        <v>72.847849569638726</v>
      </c>
      <c r="K122" s="44">
        <f t="shared" si="2"/>
        <v>0.15590992419971125</v>
      </c>
    </row>
    <row r="123" spans="2:11" x14ac:dyDescent="0.35">
      <c r="B123" s="21">
        <v>116</v>
      </c>
      <c r="C123" s="137" t="s">
        <v>151</v>
      </c>
      <c r="D123" s="55">
        <v>23310.715</v>
      </c>
      <c r="E123" s="140"/>
      <c r="F123" s="140">
        <v>401.65300000000002</v>
      </c>
      <c r="G123" s="140"/>
      <c r="H123" s="259">
        <v>164.43100000000001</v>
      </c>
      <c r="I123" s="259">
        <v>237.22200000000001</v>
      </c>
      <c r="J123" s="44">
        <f t="shared" si="3"/>
        <v>1.7230402413653978</v>
      </c>
      <c r="K123" s="44">
        <f t="shared" si="2"/>
        <v>0.14786109833746139</v>
      </c>
    </row>
    <row r="124" spans="2:11" x14ac:dyDescent="0.35">
      <c r="B124" s="21">
        <v>117</v>
      </c>
      <c r="C124" s="137" t="s">
        <v>135</v>
      </c>
      <c r="D124" s="55">
        <v>25876.38</v>
      </c>
      <c r="E124" s="140"/>
      <c r="F124" s="140">
        <v>383.029</v>
      </c>
      <c r="G124" s="140"/>
      <c r="H124" s="259">
        <v>194.102</v>
      </c>
      <c r="I124" s="259">
        <v>188.92699999999999</v>
      </c>
      <c r="J124" s="44">
        <f t="shared" si="3"/>
        <v>1.4802263686033363</v>
      </c>
      <c r="K124" s="44">
        <f t="shared" si="2"/>
        <v>0.14100501834941975</v>
      </c>
    </row>
    <row r="125" spans="2:11" x14ac:dyDescent="0.35">
      <c r="B125" s="21">
        <v>118</v>
      </c>
      <c r="C125" s="137" t="s">
        <v>104</v>
      </c>
      <c r="D125" s="55">
        <v>8519.3770000000004</v>
      </c>
      <c r="E125" s="140"/>
      <c r="F125" s="140">
        <v>369.935</v>
      </c>
      <c r="G125" s="140"/>
      <c r="H125" s="259">
        <v>179.30600000000001</v>
      </c>
      <c r="I125" s="259">
        <v>190.62899999999999</v>
      </c>
      <c r="J125" s="44">
        <f t="shared" si="3"/>
        <v>4.3422776102055343</v>
      </c>
      <c r="K125" s="44">
        <f t="shared" si="2"/>
        <v>0.13618470523927065</v>
      </c>
    </row>
    <row r="126" spans="2:11" x14ac:dyDescent="0.35">
      <c r="B126" s="21">
        <v>119</v>
      </c>
      <c r="C126" s="137" t="s">
        <v>102</v>
      </c>
      <c r="D126" s="55">
        <v>10036.379000000001</v>
      </c>
      <c r="E126" s="140"/>
      <c r="F126" s="140">
        <v>353.82499999999999</v>
      </c>
      <c r="G126" s="140"/>
      <c r="H126" s="259">
        <v>196.30199999999999</v>
      </c>
      <c r="I126" s="259">
        <v>157.523</v>
      </c>
      <c r="J126" s="44">
        <f t="shared" si="3"/>
        <v>3.5254248569130358</v>
      </c>
      <c r="K126" s="44">
        <f t="shared" si="2"/>
        <v>0.13025410769806842</v>
      </c>
    </row>
    <row r="127" spans="2:11" x14ac:dyDescent="0.35">
      <c r="B127" s="21">
        <v>120</v>
      </c>
      <c r="C127" s="137" t="s">
        <v>167</v>
      </c>
      <c r="D127" s="55">
        <v>5457.0129999999999</v>
      </c>
      <c r="E127" s="140"/>
      <c r="F127" s="140">
        <v>345.68299999999999</v>
      </c>
      <c r="G127" s="140"/>
      <c r="H127" s="259">
        <v>185.114</v>
      </c>
      <c r="I127" s="259">
        <v>160.56899999999999</v>
      </c>
      <c r="J127" s="44">
        <f t="shared" si="3"/>
        <v>6.3346559738816826</v>
      </c>
      <c r="K127" s="44">
        <f t="shared" si="2"/>
        <v>0.12725678149195616</v>
      </c>
    </row>
    <row r="128" spans="2:11" x14ac:dyDescent="0.35">
      <c r="B128" s="21">
        <v>121</v>
      </c>
      <c r="C128" s="137" t="s">
        <v>252</v>
      </c>
      <c r="D128" s="55">
        <v>2125.268</v>
      </c>
      <c r="E128" s="140"/>
      <c r="F128" s="140">
        <v>341.58</v>
      </c>
      <c r="G128" s="140"/>
      <c r="H128" s="259">
        <v>165.53800000000001</v>
      </c>
      <c r="I128" s="259">
        <v>176.042</v>
      </c>
      <c r="J128" s="44">
        <f t="shared" si="3"/>
        <v>16.0723259372465</v>
      </c>
      <c r="K128" s="44">
        <f t="shared" si="2"/>
        <v>0.12574633818273501</v>
      </c>
    </row>
    <row r="129" spans="2:11" x14ac:dyDescent="0.35">
      <c r="B129" s="21">
        <v>122</v>
      </c>
      <c r="C129" s="137" t="s">
        <v>101</v>
      </c>
      <c r="D129" s="55">
        <v>5804.3370000000004</v>
      </c>
      <c r="E129" s="140"/>
      <c r="F129" s="140">
        <v>340.75099999999998</v>
      </c>
      <c r="G129" s="140"/>
      <c r="H129" s="259">
        <v>178.364</v>
      </c>
      <c r="I129" s="259">
        <v>162.387</v>
      </c>
      <c r="J129" s="44">
        <f t="shared" si="3"/>
        <v>5.8706274291103355</v>
      </c>
      <c r="K129" s="44">
        <f t="shared" si="2"/>
        <v>0.12544115721677243</v>
      </c>
    </row>
    <row r="130" spans="2:11" x14ac:dyDescent="0.35">
      <c r="B130" s="21">
        <v>123</v>
      </c>
      <c r="C130" s="137" t="s">
        <v>202</v>
      </c>
      <c r="D130" s="55">
        <v>1394.973</v>
      </c>
      <c r="E130" s="140"/>
      <c r="F130" s="140">
        <v>334.30399999999997</v>
      </c>
      <c r="G130" s="140"/>
      <c r="H130" s="259">
        <v>197.57900000000001</v>
      </c>
      <c r="I130" s="259">
        <v>136.72499999999999</v>
      </c>
      <c r="J130" s="44">
        <f t="shared" si="3"/>
        <v>23.964908281378921</v>
      </c>
      <c r="K130" s="44">
        <f t="shared" si="2"/>
        <v>0.12306781380596359</v>
      </c>
    </row>
    <row r="131" spans="2:11" x14ac:dyDescent="0.35">
      <c r="B131" s="21">
        <v>124</v>
      </c>
      <c r="C131" s="137" t="s">
        <v>159</v>
      </c>
      <c r="D131" s="55">
        <v>1906.7429999999999</v>
      </c>
      <c r="E131" s="140"/>
      <c r="F131" s="140">
        <v>332.22</v>
      </c>
      <c r="G131" s="140"/>
      <c r="H131" s="259">
        <v>183.26900000000001</v>
      </c>
      <c r="I131" s="259">
        <v>148.95099999999999</v>
      </c>
      <c r="J131" s="44">
        <f t="shared" si="3"/>
        <v>17.423428327781984</v>
      </c>
      <c r="K131" s="44">
        <f t="shared" si="2"/>
        <v>0.12230062787946666</v>
      </c>
    </row>
    <row r="132" spans="2:11" x14ac:dyDescent="0.35">
      <c r="B132" s="21">
        <v>125</v>
      </c>
      <c r="C132" s="137" t="s">
        <v>158</v>
      </c>
      <c r="D132" s="55">
        <v>18628.746999999999</v>
      </c>
      <c r="E132" s="140"/>
      <c r="F132" s="140">
        <v>324.541</v>
      </c>
      <c r="G132" s="140"/>
      <c r="H132" s="259">
        <v>124.093</v>
      </c>
      <c r="I132" s="259">
        <v>200.44800000000001</v>
      </c>
      <c r="J132" s="44">
        <f t="shared" si="3"/>
        <v>1.7421515252743516</v>
      </c>
      <c r="K132" s="44">
        <f t="shared" si="2"/>
        <v>0.11947374653130452</v>
      </c>
    </row>
    <row r="133" spans="2:11" ht="27" x14ac:dyDescent="0.35">
      <c r="B133" s="21">
        <v>126</v>
      </c>
      <c r="C133" s="137" t="s">
        <v>134</v>
      </c>
      <c r="D133" s="55">
        <v>58005.463000000003</v>
      </c>
      <c r="E133" s="140"/>
      <c r="F133" s="140">
        <v>323.173</v>
      </c>
      <c r="G133" s="140"/>
      <c r="H133" s="259">
        <v>161.852</v>
      </c>
      <c r="I133" s="259">
        <v>161.321</v>
      </c>
      <c r="J133" s="44">
        <f t="shared" si="3"/>
        <v>0.55714235054032757</v>
      </c>
      <c r="K133" s="44">
        <f t="shared" si="2"/>
        <v>0.11897014271774992</v>
      </c>
    </row>
    <row r="134" spans="2:11" x14ac:dyDescent="0.35">
      <c r="B134" s="21">
        <v>127</v>
      </c>
      <c r="C134" s="137" t="s">
        <v>22</v>
      </c>
      <c r="D134" s="55">
        <v>34268.527999999998</v>
      </c>
      <c r="E134" s="140"/>
      <c r="F134" s="140">
        <v>296.25400000000002</v>
      </c>
      <c r="G134" s="140"/>
      <c r="H134" s="259">
        <v>136.166</v>
      </c>
      <c r="I134" s="259">
        <v>160.08799999999999</v>
      </c>
      <c r="J134" s="44">
        <f t="shared" si="3"/>
        <v>0.86450751546725335</v>
      </c>
      <c r="K134" s="44">
        <f t="shared" si="2"/>
        <v>0.10906041241286954</v>
      </c>
    </row>
    <row r="135" spans="2:11" x14ac:dyDescent="0.35">
      <c r="B135" s="21">
        <v>128</v>
      </c>
      <c r="C135" s="137" t="s">
        <v>146</v>
      </c>
      <c r="D135" s="55">
        <v>5532.1559999999999</v>
      </c>
      <c r="E135" s="140"/>
      <c r="F135" s="140">
        <v>290.00599999999997</v>
      </c>
      <c r="G135" s="140"/>
      <c r="H135" s="259">
        <v>177.643</v>
      </c>
      <c r="I135" s="259">
        <v>112.363</v>
      </c>
      <c r="J135" s="44">
        <f t="shared" si="3"/>
        <v>5.24218767511256</v>
      </c>
      <c r="K135" s="44">
        <f t="shared" si="2"/>
        <v>0.10676032715914938</v>
      </c>
    </row>
    <row r="136" spans="2:11" x14ac:dyDescent="0.35">
      <c r="B136" s="21">
        <v>129</v>
      </c>
      <c r="C136" s="137" t="s">
        <v>163</v>
      </c>
      <c r="D136" s="55">
        <v>5942.0889999999999</v>
      </c>
      <c r="E136" s="140"/>
      <c r="F136" s="140">
        <v>260.83199999999999</v>
      </c>
      <c r="G136" s="140"/>
      <c r="H136" s="259">
        <v>134.14400000000001</v>
      </c>
      <c r="I136" s="259">
        <v>126.688</v>
      </c>
      <c r="J136" s="44">
        <f t="shared" si="3"/>
        <v>4.3895673726866091</v>
      </c>
      <c r="K136" s="44">
        <f t="shared" si="2"/>
        <v>9.6020460451077733E-2</v>
      </c>
    </row>
    <row r="137" spans="2:11" x14ac:dyDescent="0.35">
      <c r="B137" s="21">
        <v>130</v>
      </c>
      <c r="C137" s="137" t="s">
        <v>126</v>
      </c>
      <c r="D137" s="55">
        <v>5771.8760000000002</v>
      </c>
      <c r="E137" s="140"/>
      <c r="F137" s="140">
        <v>255.61600000000001</v>
      </c>
      <c r="G137" s="140"/>
      <c r="H137" s="259">
        <v>134.91499999999999</v>
      </c>
      <c r="I137" s="259">
        <v>120.70099999999999</v>
      </c>
      <c r="J137" s="44">
        <f t="shared" si="3"/>
        <v>4.4286467692653133</v>
      </c>
      <c r="K137" s="44">
        <f t="shared" ref="K137:K200" si="4">(F137/$F$7)*100</f>
        <v>9.4100286846179493E-2</v>
      </c>
    </row>
    <row r="138" spans="2:11" x14ac:dyDescent="0.35">
      <c r="B138" s="21">
        <v>131</v>
      </c>
      <c r="C138" s="137" t="s">
        <v>142</v>
      </c>
      <c r="D138" s="55">
        <v>5380.5079999999998</v>
      </c>
      <c r="E138" s="140"/>
      <c r="F138" s="140">
        <v>239.39699999999999</v>
      </c>
      <c r="G138" s="140"/>
      <c r="H138" s="259">
        <v>118.456</v>
      </c>
      <c r="I138" s="259">
        <v>120.941</v>
      </c>
      <c r="J138" s="44">
        <f t="shared" si="3"/>
        <v>4.4493382409244626</v>
      </c>
      <c r="K138" s="44">
        <f t="shared" si="4"/>
        <v>8.8129562977727643E-2</v>
      </c>
    </row>
    <row r="139" spans="2:11" x14ac:dyDescent="0.35">
      <c r="B139" s="21">
        <v>132</v>
      </c>
      <c r="C139" s="137" t="s">
        <v>243</v>
      </c>
      <c r="D139" s="55">
        <v>889.95299999999997</v>
      </c>
      <c r="E139" s="140"/>
      <c r="F139" s="140">
        <v>222.63300000000001</v>
      </c>
      <c r="G139" s="140"/>
      <c r="H139" s="259">
        <v>117.10299999999999</v>
      </c>
      <c r="I139" s="259">
        <v>105.53</v>
      </c>
      <c r="J139" s="44">
        <f t="shared" ref="J139:J202" si="5">(F139/D139)*100</f>
        <v>25.016264903876952</v>
      </c>
      <c r="K139" s="44">
        <f t="shared" si="4"/>
        <v>8.1958207473027817E-2</v>
      </c>
    </row>
    <row r="140" spans="2:11" x14ac:dyDescent="0.35">
      <c r="B140" s="21">
        <v>133</v>
      </c>
      <c r="C140" s="137" t="s">
        <v>185</v>
      </c>
      <c r="D140" s="55">
        <v>4937.3739999999998</v>
      </c>
      <c r="E140" s="140"/>
      <c r="F140" s="140">
        <v>219.33799999999999</v>
      </c>
      <c r="G140" s="140"/>
      <c r="H140" s="259">
        <v>109.89400000000001</v>
      </c>
      <c r="I140" s="259">
        <v>109.444</v>
      </c>
      <c r="J140" s="44">
        <f t="shared" si="5"/>
        <v>4.4424019731946576</v>
      </c>
      <c r="K140" s="44">
        <f t="shared" si="4"/>
        <v>8.0745214369473406E-2</v>
      </c>
    </row>
    <row r="141" spans="2:11" x14ac:dyDescent="0.35">
      <c r="B141" s="21">
        <v>134</v>
      </c>
      <c r="C141" s="137" t="s">
        <v>223</v>
      </c>
      <c r="D141" s="55">
        <v>8776.1090000000004</v>
      </c>
      <c r="E141" s="140"/>
      <c r="F141" s="140">
        <v>219.126</v>
      </c>
      <c r="G141" s="140"/>
      <c r="H141" s="259">
        <v>107.386</v>
      </c>
      <c r="I141" s="259">
        <v>111.74</v>
      </c>
      <c r="J141" s="44">
        <f t="shared" si="5"/>
        <v>2.4968468372487171</v>
      </c>
      <c r="K141" s="44">
        <f t="shared" si="4"/>
        <v>8.0667170503630162E-2</v>
      </c>
    </row>
    <row r="142" spans="2:11" x14ac:dyDescent="0.35">
      <c r="B142" s="21">
        <v>135</v>
      </c>
      <c r="C142" s="137" t="s">
        <v>164</v>
      </c>
      <c r="D142" s="55">
        <v>1198.575</v>
      </c>
      <c r="E142" s="140"/>
      <c r="F142" s="140">
        <v>214.648</v>
      </c>
      <c r="G142" s="140"/>
      <c r="H142" s="259">
        <v>108.377</v>
      </c>
      <c r="I142" s="259">
        <v>106.271</v>
      </c>
      <c r="J142" s="44">
        <f t="shared" si="5"/>
        <v>17.908599795590597</v>
      </c>
      <c r="K142" s="44">
        <f t="shared" si="4"/>
        <v>7.9018677903412674E-2</v>
      </c>
    </row>
    <row r="143" spans="2:11" x14ac:dyDescent="0.35">
      <c r="B143" s="21">
        <v>136</v>
      </c>
      <c r="C143" s="137" t="s">
        <v>165</v>
      </c>
      <c r="D143" s="55">
        <v>1325.6479999999999</v>
      </c>
      <c r="E143" s="140"/>
      <c r="F143" s="140">
        <v>208.25700000000001</v>
      </c>
      <c r="G143" s="140"/>
      <c r="H143" s="259">
        <v>114.467</v>
      </c>
      <c r="I143" s="259">
        <v>93.79</v>
      </c>
      <c r="J143" s="44">
        <f t="shared" si="5"/>
        <v>15.709826439597844</v>
      </c>
      <c r="K143" s="44">
        <f t="shared" si="4"/>
        <v>7.6665949853392604E-2</v>
      </c>
    </row>
    <row r="144" spans="2:11" x14ac:dyDescent="0.35">
      <c r="B144" s="21">
        <v>137</v>
      </c>
      <c r="C144" s="137" t="s">
        <v>132</v>
      </c>
      <c r="D144" s="55">
        <v>15946.876</v>
      </c>
      <c r="E144" s="140"/>
      <c r="F144" s="140">
        <v>206.4</v>
      </c>
      <c r="G144" s="140"/>
      <c r="H144" s="259">
        <v>94.501999999999995</v>
      </c>
      <c r="I144" s="259">
        <v>111.898</v>
      </c>
      <c r="J144" s="44">
        <f t="shared" si="5"/>
        <v>1.2942973909121762</v>
      </c>
      <c r="K144" s="44">
        <f t="shared" si="4"/>
        <v>7.5982329764378784E-2</v>
      </c>
    </row>
    <row r="145" spans="2:11" x14ac:dyDescent="0.35">
      <c r="B145" s="21">
        <v>138</v>
      </c>
      <c r="C145" s="137" t="s">
        <v>93</v>
      </c>
      <c r="D145" s="55">
        <v>4207.0829999999996</v>
      </c>
      <c r="E145" s="140"/>
      <c r="F145" s="140">
        <v>205.38200000000001</v>
      </c>
      <c r="G145" s="140"/>
      <c r="H145" s="259">
        <v>80.585999999999999</v>
      </c>
      <c r="I145" s="259">
        <v>124.79600000000001</v>
      </c>
      <c r="J145" s="44">
        <f t="shared" si="5"/>
        <v>4.8818147871102138</v>
      </c>
      <c r="K145" s="44">
        <f t="shared" si="4"/>
        <v>7.5607571955754085E-2</v>
      </c>
    </row>
    <row r="146" spans="2:11" x14ac:dyDescent="0.35">
      <c r="B146" s="21">
        <v>139</v>
      </c>
      <c r="C146" s="137" t="s">
        <v>119</v>
      </c>
      <c r="D146" s="55">
        <v>5378.857</v>
      </c>
      <c r="E146" s="140"/>
      <c r="F146" s="140">
        <v>202.33600000000001</v>
      </c>
      <c r="G146" s="140"/>
      <c r="H146" s="259">
        <v>115.226</v>
      </c>
      <c r="I146" s="259">
        <v>87.11</v>
      </c>
      <c r="J146" s="44">
        <f t="shared" si="5"/>
        <v>3.7616913779265744</v>
      </c>
      <c r="K146" s="44">
        <f t="shared" si="4"/>
        <v>7.4486243581421252E-2</v>
      </c>
    </row>
    <row r="147" spans="2:11" x14ac:dyDescent="0.35">
      <c r="B147" s="21">
        <v>140</v>
      </c>
      <c r="C147" s="137" t="s">
        <v>257</v>
      </c>
      <c r="D147" s="55">
        <v>582.46299999999997</v>
      </c>
      <c r="E147" s="140"/>
      <c r="F147" s="140">
        <v>195.572</v>
      </c>
      <c r="G147" s="140"/>
      <c r="H147" s="259">
        <v>92.335999999999999</v>
      </c>
      <c r="I147" s="259">
        <v>103.236</v>
      </c>
      <c r="J147" s="44">
        <f t="shared" si="5"/>
        <v>33.576725045196007</v>
      </c>
      <c r="K147" s="44">
        <f t="shared" si="4"/>
        <v>7.1996202503290155E-2</v>
      </c>
    </row>
    <row r="148" spans="2:11" x14ac:dyDescent="0.35">
      <c r="B148" s="21">
        <v>141</v>
      </c>
      <c r="C148" s="137" t="s">
        <v>181</v>
      </c>
      <c r="D148" s="55">
        <v>2494.5300000000002</v>
      </c>
      <c r="E148" s="140"/>
      <c r="F148" s="140">
        <v>195.51499999999999</v>
      </c>
      <c r="G148" s="140"/>
      <c r="H148" s="259">
        <v>104.399</v>
      </c>
      <c r="I148" s="259">
        <v>91.116</v>
      </c>
      <c r="J148" s="44">
        <f t="shared" si="5"/>
        <v>7.8377489948006227</v>
      </c>
      <c r="K148" s="44">
        <f t="shared" si="4"/>
        <v>7.1975219011058703E-2</v>
      </c>
    </row>
    <row r="149" spans="2:11" x14ac:dyDescent="0.35">
      <c r="B149" s="21">
        <v>142</v>
      </c>
      <c r="C149" s="137" t="s">
        <v>227</v>
      </c>
      <c r="D149" s="55">
        <v>1269.6679999999999</v>
      </c>
      <c r="E149" s="140"/>
      <c r="F149" s="140">
        <v>188.34399999999999</v>
      </c>
      <c r="G149" s="140"/>
      <c r="H149" s="259">
        <v>103.18</v>
      </c>
      <c r="I149" s="259">
        <v>85.164000000000001</v>
      </c>
      <c r="J149" s="44">
        <f t="shared" si="5"/>
        <v>14.834114114870975</v>
      </c>
      <c r="K149" s="44">
        <f t="shared" si="4"/>
        <v>6.9335348435766261E-2</v>
      </c>
    </row>
    <row r="150" spans="2:11" x14ac:dyDescent="0.35">
      <c r="B150" s="21">
        <v>143</v>
      </c>
      <c r="C150" s="137" t="s">
        <v>205</v>
      </c>
      <c r="D150" s="55">
        <v>7813.2150000000001</v>
      </c>
      <c r="E150" s="140"/>
      <c r="F150" s="140">
        <v>187.102</v>
      </c>
      <c r="G150" s="140"/>
      <c r="H150" s="259">
        <v>94.453999999999994</v>
      </c>
      <c r="I150" s="259">
        <v>92.647999999999996</v>
      </c>
      <c r="J150" s="44">
        <f t="shared" si="5"/>
        <v>2.3946864382971671</v>
      </c>
      <c r="K150" s="44">
        <f t="shared" si="4"/>
        <v>6.8878129183986433E-2</v>
      </c>
    </row>
    <row r="151" spans="2:11" x14ac:dyDescent="0.35">
      <c r="B151" s="21">
        <v>144</v>
      </c>
      <c r="C151" s="137" t="s">
        <v>241</v>
      </c>
      <c r="D151" s="55">
        <v>549.93499999999995</v>
      </c>
      <c r="E151" s="140"/>
      <c r="F151" s="140">
        <v>186.37200000000001</v>
      </c>
      <c r="G151" s="140"/>
      <c r="H151" s="259">
        <v>102.798</v>
      </c>
      <c r="I151" s="259">
        <v>83.573999999999998</v>
      </c>
      <c r="J151" s="44">
        <f t="shared" si="5"/>
        <v>33.889823342758696</v>
      </c>
      <c r="K151" s="44">
        <f t="shared" si="4"/>
        <v>6.8609393230846916E-2</v>
      </c>
    </row>
    <row r="152" spans="2:11" x14ac:dyDescent="0.35">
      <c r="B152" s="21">
        <v>145</v>
      </c>
      <c r="C152" s="137" t="s">
        <v>220</v>
      </c>
      <c r="D152" s="55">
        <v>26969.307000000001</v>
      </c>
      <c r="E152" s="140"/>
      <c r="F152" s="140">
        <v>184.762</v>
      </c>
      <c r="G152" s="140"/>
      <c r="H152" s="259">
        <v>113.562</v>
      </c>
      <c r="I152" s="259">
        <v>71.2</v>
      </c>
      <c r="J152" s="44">
        <f t="shared" si="5"/>
        <v>0.68508249025456969</v>
      </c>
      <c r="K152" s="44">
        <f t="shared" si="4"/>
        <v>6.8016701608169347E-2</v>
      </c>
    </row>
    <row r="153" spans="2:11" x14ac:dyDescent="0.35">
      <c r="B153" s="21">
        <v>146</v>
      </c>
      <c r="C153" s="137" t="s">
        <v>122</v>
      </c>
      <c r="D153" s="55">
        <v>6777.4520000000002</v>
      </c>
      <c r="E153" s="140"/>
      <c r="F153" s="140">
        <v>180.58600000000001</v>
      </c>
      <c r="G153" s="140"/>
      <c r="H153" s="259">
        <v>81.989000000000004</v>
      </c>
      <c r="I153" s="259">
        <v>98.596999999999994</v>
      </c>
      <c r="J153" s="44">
        <f t="shared" si="5"/>
        <v>2.6645116778399909</v>
      </c>
      <c r="K153" s="44">
        <f t="shared" si="4"/>
        <v>6.6479384703634237E-2</v>
      </c>
    </row>
    <row r="154" spans="2:11" x14ac:dyDescent="0.35">
      <c r="B154" s="21">
        <v>147</v>
      </c>
      <c r="C154" s="137" t="s">
        <v>100</v>
      </c>
      <c r="D154" s="55">
        <v>2832.067</v>
      </c>
      <c r="E154" s="140"/>
      <c r="F154" s="140">
        <v>171.63200000000001</v>
      </c>
      <c r="G154" s="140"/>
      <c r="H154" s="259">
        <v>87.438999999999993</v>
      </c>
      <c r="I154" s="259">
        <v>84.192999999999998</v>
      </c>
      <c r="J154" s="44">
        <f t="shared" si="5"/>
        <v>6.0603086014561098</v>
      </c>
      <c r="K154" s="44">
        <f t="shared" si="4"/>
        <v>6.31831357660846E-2</v>
      </c>
    </row>
    <row r="155" spans="2:11" x14ac:dyDescent="0.35">
      <c r="B155" s="21">
        <v>148</v>
      </c>
      <c r="C155" s="137" t="s">
        <v>143</v>
      </c>
      <c r="D155" s="55">
        <v>640.44500000000005</v>
      </c>
      <c r="E155" s="140"/>
      <c r="F155" s="140">
        <v>161.93</v>
      </c>
      <c r="G155" s="140"/>
      <c r="H155" s="259">
        <v>90.031000000000006</v>
      </c>
      <c r="I155" s="259">
        <v>71.899000000000001</v>
      </c>
      <c r="J155" s="44">
        <f t="shared" si="5"/>
        <v>25.283982231104936</v>
      </c>
      <c r="K155" s="44">
        <f t="shared" si="4"/>
        <v>5.9611524509427596E-2</v>
      </c>
    </row>
    <row r="156" spans="2:11" x14ac:dyDescent="0.35">
      <c r="B156" s="21">
        <v>149</v>
      </c>
      <c r="C156" s="137" t="s">
        <v>168</v>
      </c>
      <c r="D156" s="55">
        <v>4246.4390000000003</v>
      </c>
      <c r="E156" s="140"/>
      <c r="F156" s="140">
        <v>161.107</v>
      </c>
      <c r="G156" s="140"/>
      <c r="H156" s="259">
        <v>82.891999999999996</v>
      </c>
      <c r="I156" s="259">
        <v>78.215000000000003</v>
      </c>
      <c r="J156" s="44">
        <f t="shared" si="5"/>
        <v>3.7939318096880705</v>
      </c>
      <c r="K156" s="44">
        <f t="shared" si="4"/>
        <v>5.9308552332120984E-2</v>
      </c>
    </row>
    <row r="157" spans="2:11" ht="27" x14ac:dyDescent="0.35">
      <c r="B157" s="21">
        <v>150</v>
      </c>
      <c r="C157" s="137" t="s">
        <v>35</v>
      </c>
      <c r="D157" s="55">
        <v>9770.5290000000005</v>
      </c>
      <c r="E157" s="140"/>
      <c r="F157" s="140">
        <v>154.404</v>
      </c>
      <c r="G157" s="140"/>
      <c r="H157" s="259">
        <v>72.741</v>
      </c>
      <c r="I157" s="259">
        <v>81.662999999999997</v>
      </c>
      <c r="J157" s="44">
        <f t="shared" si="5"/>
        <v>1.5803033796839454</v>
      </c>
      <c r="K157" s="44">
        <f t="shared" si="4"/>
        <v>5.6840967271991956E-2</v>
      </c>
    </row>
    <row r="158" spans="2:11" x14ac:dyDescent="0.35">
      <c r="B158" s="21">
        <v>151</v>
      </c>
      <c r="C158" s="137" t="s">
        <v>197</v>
      </c>
      <c r="D158" s="55">
        <v>627.98699999999997</v>
      </c>
      <c r="E158" s="140"/>
      <c r="F158" s="140">
        <v>153.00899999999999</v>
      </c>
      <c r="G158" s="140"/>
      <c r="H158" s="259">
        <v>81.260000000000005</v>
      </c>
      <c r="I158" s="259">
        <v>71.748999999999995</v>
      </c>
      <c r="J158" s="44">
        <f t="shared" si="5"/>
        <v>24.364994816771684</v>
      </c>
      <c r="K158" s="44">
        <f t="shared" si="4"/>
        <v>5.632742390948562E-2</v>
      </c>
    </row>
    <row r="159" spans="2:11" x14ac:dyDescent="0.35">
      <c r="B159" s="21">
        <v>152</v>
      </c>
      <c r="C159" s="137" t="s">
        <v>139</v>
      </c>
      <c r="D159" s="55">
        <v>5047.5609999999997</v>
      </c>
      <c r="E159" s="140"/>
      <c r="F159" s="140">
        <v>150.4</v>
      </c>
      <c r="G159" s="140"/>
      <c r="H159" s="259">
        <v>86.650999999999996</v>
      </c>
      <c r="I159" s="259">
        <v>63.749000000000002</v>
      </c>
      <c r="J159" s="44">
        <f t="shared" si="5"/>
        <v>2.9796569075638715</v>
      </c>
      <c r="K159" s="44">
        <f t="shared" si="4"/>
        <v>5.5366968975593844E-2</v>
      </c>
    </row>
    <row r="160" spans="2:11" x14ac:dyDescent="0.35">
      <c r="B160" s="21">
        <v>153</v>
      </c>
      <c r="C160" s="137" t="s">
        <v>156</v>
      </c>
      <c r="D160" s="55">
        <v>2078.654</v>
      </c>
      <c r="E160" s="140"/>
      <c r="F160" s="140">
        <v>147.59299999999999</v>
      </c>
      <c r="G160" s="140"/>
      <c r="H160" s="259">
        <v>79.534999999999997</v>
      </c>
      <c r="I160" s="259">
        <v>68.058000000000007</v>
      </c>
      <c r="J160" s="44">
        <f t="shared" si="5"/>
        <v>7.1004120935951818</v>
      </c>
      <c r="K160" s="44">
        <f t="shared" si="4"/>
        <v>5.4333624016055987E-2</v>
      </c>
    </row>
    <row r="161" spans="2:11" x14ac:dyDescent="0.35">
      <c r="B161" s="21">
        <v>154</v>
      </c>
      <c r="C161" s="137" t="s">
        <v>174</v>
      </c>
      <c r="D161" s="55">
        <v>888.92700000000002</v>
      </c>
      <c r="E161" s="140"/>
      <c r="F161" s="140">
        <v>133.76900000000001</v>
      </c>
      <c r="G161" s="140"/>
      <c r="H161" s="259">
        <v>72.123000000000005</v>
      </c>
      <c r="I161" s="259">
        <v>61.646000000000001</v>
      </c>
      <c r="J161" s="44">
        <f t="shared" si="5"/>
        <v>15.048367301251957</v>
      </c>
      <c r="K161" s="44">
        <f t="shared" si="4"/>
        <v>4.9244574952767378E-2</v>
      </c>
    </row>
    <row r="162" spans="2:11" x14ac:dyDescent="0.35">
      <c r="B162" s="21">
        <v>155</v>
      </c>
      <c r="C162" s="137" t="s">
        <v>169</v>
      </c>
      <c r="D162" s="55">
        <v>4525.6959999999999</v>
      </c>
      <c r="E162" s="140"/>
      <c r="F162" s="140">
        <v>128.506</v>
      </c>
      <c r="G162" s="140"/>
      <c r="H162" s="259">
        <v>49.393999999999998</v>
      </c>
      <c r="I162" s="259">
        <v>79.111999999999995</v>
      </c>
      <c r="J162" s="44">
        <f t="shared" si="5"/>
        <v>2.8394748564640664</v>
      </c>
      <c r="K162" s="44">
        <f t="shared" si="4"/>
        <v>4.7307099170064239E-2</v>
      </c>
    </row>
    <row r="163" spans="2:11" x14ac:dyDescent="0.35">
      <c r="B163" s="21">
        <v>156</v>
      </c>
      <c r="C163" s="137" t="s">
        <v>160</v>
      </c>
      <c r="D163" s="55">
        <v>1355.9860000000001</v>
      </c>
      <c r="E163" s="140"/>
      <c r="F163" s="140">
        <v>125.67</v>
      </c>
      <c r="G163" s="140"/>
      <c r="H163" s="259">
        <v>58.345999999999997</v>
      </c>
      <c r="I163" s="259">
        <v>67.323999999999998</v>
      </c>
      <c r="J163" s="44">
        <f t="shared" si="5"/>
        <v>9.2677948002412993</v>
      </c>
      <c r="K163" s="44">
        <f t="shared" si="4"/>
        <v>4.6263078398689345E-2</v>
      </c>
    </row>
    <row r="164" spans="2:11" ht="27" x14ac:dyDescent="0.35">
      <c r="B164" s="21">
        <v>157</v>
      </c>
      <c r="C164" s="137" t="s">
        <v>250</v>
      </c>
      <c r="D164" s="55">
        <v>52.823</v>
      </c>
      <c r="E164" s="140"/>
      <c r="F164" s="140">
        <v>124.941</v>
      </c>
      <c r="G164" s="140"/>
      <c r="H164" s="259">
        <v>70.001000000000005</v>
      </c>
      <c r="I164" s="259">
        <v>54.94</v>
      </c>
      <c r="J164" s="44">
        <f t="shared" si="5"/>
        <v>236.52764894080232</v>
      </c>
      <c r="K164" s="44">
        <f t="shared" si="4"/>
        <v>4.599471057699249E-2</v>
      </c>
    </row>
    <row r="165" spans="2:11" x14ac:dyDescent="0.35">
      <c r="B165" s="21">
        <v>158</v>
      </c>
      <c r="C165" s="137" t="s">
        <v>261</v>
      </c>
      <c r="D165" s="55">
        <v>197.09700000000001</v>
      </c>
      <c r="E165" s="140"/>
      <c r="F165" s="140">
        <v>124.40300000000001</v>
      </c>
      <c r="G165" s="140"/>
      <c r="H165" s="259">
        <v>63.222999999999999</v>
      </c>
      <c r="I165" s="259">
        <v>61.18</v>
      </c>
      <c r="J165" s="44">
        <f t="shared" si="5"/>
        <v>63.11765272936676</v>
      </c>
      <c r="K165" s="44">
        <f t="shared" si="4"/>
        <v>4.579665586084309E-2</v>
      </c>
    </row>
    <row r="166" spans="2:11" x14ac:dyDescent="0.35">
      <c r="B166" s="21">
        <v>159</v>
      </c>
      <c r="C166" s="137" t="s">
        <v>215</v>
      </c>
      <c r="D166" s="55">
        <v>163.42400000000001</v>
      </c>
      <c r="E166" s="140"/>
      <c r="F166" s="140">
        <v>123.13200000000001</v>
      </c>
      <c r="G166" s="140"/>
      <c r="H166" s="259">
        <v>63.451000000000001</v>
      </c>
      <c r="I166" s="259">
        <v>59.680999999999997</v>
      </c>
      <c r="J166" s="44">
        <f t="shared" si="5"/>
        <v>75.345114548658714</v>
      </c>
      <c r="K166" s="44">
        <f t="shared" si="4"/>
        <v>4.5328760797226204E-2</v>
      </c>
    </row>
    <row r="167" spans="2:11" x14ac:dyDescent="0.35">
      <c r="B167" s="21">
        <v>160</v>
      </c>
      <c r="C167" s="137" t="s">
        <v>245</v>
      </c>
      <c r="D167" s="55">
        <v>850.88599999999997</v>
      </c>
      <c r="E167" s="140"/>
      <c r="F167" s="140">
        <v>120.297</v>
      </c>
      <c r="G167" s="140"/>
      <c r="H167" s="259">
        <v>61.511000000000003</v>
      </c>
      <c r="I167" s="259">
        <v>58.786000000000001</v>
      </c>
      <c r="J167" s="44">
        <f t="shared" si="5"/>
        <v>14.137851604092674</v>
      </c>
      <c r="K167" s="44">
        <f t="shared" si="4"/>
        <v>4.4285108157293959E-2</v>
      </c>
    </row>
    <row r="168" spans="2:11" x14ac:dyDescent="0.35">
      <c r="B168" s="21">
        <v>161</v>
      </c>
      <c r="C168" s="137" t="s">
        <v>161</v>
      </c>
      <c r="D168" s="55">
        <v>2347.7060000000001</v>
      </c>
      <c r="E168" s="140"/>
      <c r="F168" s="140">
        <v>118.483</v>
      </c>
      <c r="G168" s="140"/>
      <c r="H168" s="259">
        <v>40.505000000000003</v>
      </c>
      <c r="I168" s="259">
        <v>77.977999999999994</v>
      </c>
      <c r="J168" s="44">
        <f t="shared" si="5"/>
        <v>5.0467562803860453</v>
      </c>
      <c r="K168" s="44">
        <f t="shared" si="4"/>
        <v>4.3617317720314394E-2</v>
      </c>
    </row>
    <row r="169" spans="2:11" x14ac:dyDescent="0.35">
      <c r="B169" s="21">
        <v>162</v>
      </c>
      <c r="C169" s="137" t="s">
        <v>283</v>
      </c>
      <c r="D169" s="55">
        <v>25666.161</v>
      </c>
      <c r="E169" s="140"/>
      <c r="F169" s="140">
        <v>113.11799999999999</v>
      </c>
      <c r="G169" s="140"/>
      <c r="H169" s="259">
        <v>53.915999999999997</v>
      </c>
      <c r="I169" s="259">
        <v>59.201999999999998</v>
      </c>
      <c r="J169" s="44">
        <f t="shared" si="5"/>
        <v>0.44072816343667448</v>
      </c>
      <c r="K169" s="44">
        <f t="shared" si="4"/>
        <v>4.1642292530460263E-2</v>
      </c>
    </row>
    <row r="170" spans="2:11" x14ac:dyDescent="0.35">
      <c r="B170" s="21">
        <v>163</v>
      </c>
      <c r="C170" s="137" t="s">
        <v>221</v>
      </c>
      <c r="D170" s="55">
        <v>287.02499999999998</v>
      </c>
      <c r="E170" s="140"/>
      <c r="F170" s="140">
        <v>112.925</v>
      </c>
      <c r="G170" s="140"/>
      <c r="H170" s="259">
        <v>60.841000000000001</v>
      </c>
      <c r="I170" s="259">
        <v>52.084000000000003</v>
      </c>
      <c r="J170" s="44">
        <f t="shared" si="5"/>
        <v>39.343262781987633</v>
      </c>
      <c r="K170" s="44">
        <f t="shared" si="4"/>
        <v>4.1571243162027489E-2</v>
      </c>
    </row>
    <row r="171" spans="2:11" x14ac:dyDescent="0.35">
      <c r="B171" s="21">
        <v>164</v>
      </c>
      <c r="C171" s="137" t="s">
        <v>187</v>
      </c>
      <c r="D171" s="55">
        <v>440.37200000000001</v>
      </c>
      <c r="E171" s="140"/>
      <c r="F171" s="140">
        <v>111.137</v>
      </c>
      <c r="G171" s="140"/>
      <c r="H171" s="259">
        <v>56.892000000000003</v>
      </c>
      <c r="I171" s="259">
        <v>54.244999999999997</v>
      </c>
      <c r="J171" s="44">
        <f t="shared" si="5"/>
        <v>25.237072293424649</v>
      </c>
      <c r="K171" s="44">
        <f t="shared" si="4"/>
        <v>4.0913024142557E-2</v>
      </c>
    </row>
    <row r="172" spans="2:11" x14ac:dyDescent="0.35">
      <c r="B172" s="21">
        <v>165</v>
      </c>
      <c r="C172" s="137" t="s">
        <v>222</v>
      </c>
      <c r="D172" s="55">
        <v>1148.1300000000001</v>
      </c>
      <c r="E172" s="140"/>
      <c r="F172" s="140">
        <v>108.188</v>
      </c>
      <c r="G172" s="140"/>
      <c r="H172" s="259">
        <v>51.15</v>
      </c>
      <c r="I172" s="259">
        <v>57.037999999999997</v>
      </c>
      <c r="J172" s="44">
        <f t="shared" si="5"/>
        <v>9.4229747502460519</v>
      </c>
      <c r="K172" s="44">
        <f t="shared" si="4"/>
        <v>3.9827404518161878E-2</v>
      </c>
    </row>
    <row r="173" spans="2:11" x14ac:dyDescent="0.35">
      <c r="B173" s="21">
        <v>166</v>
      </c>
      <c r="C173" s="137" t="s">
        <v>228</v>
      </c>
      <c r="D173" s="55">
        <v>1920.922</v>
      </c>
      <c r="E173" s="140"/>
      <c r="F173" s="140">
        <v>103.587</v>
      </c>
      <c r="G173" s="140"/>
      <c r="H173" s="259">
        <v>48.811999999999998</v>
      </c>
      <c r="I173" s="259">
        <v>54.774999999999999</v>
      </c>
      <c r="J173" s="44">
        <f t="shared" si="5"/>
        <v>5.3925666945352289</v>
      </c>
      <c r="K173" s="44">
        <f t="shared" si="4"/>
        <v>3.8133631750497603E-2</v>
      </c>
    </row>
    <row r="174" spans="2:11" x14ac:dyDescent="0.35">
      <c r="B174" s="21">
        <v>167</v>
      </c>
      <c r="C174" s="137" t="s">
        <v>180</v>
      </c>
      <c r="D174" s="55">
        <v>2303.6970000000001</v>
      </c>
      <c r="E174" s="140"/>
      <c r="F174" s="140">
        <v>86.501000000000005</v>
      </c>
      <c r="G174" s="140"/>
      <c r="H174" s="259">
        <v>35.442999999999998</v>
      </c>
      <c r="I174" s="259">
        <v>51.058</v>
      </c>
      <c r="J174" s="44">
        <f t="shared" si="5"/>
        <v>3.7548774860582794</v>
      </c>
      <c r="K174" s="44">
        <f t="shared" si="4"/>
        <v>3.1843737921262251E-2</v>
      </c>
    </row>
    <row r="175" spans="2:11" x14ac:dyDescent="0.35">
      <c r="B175" s="21">
        <v>168</v>
      </c>
      <c r="C175" s="137" t="s">
        <v>249</v>
      </c>
      <c r="D175" s="55">
        <v>71.808000000000007</v>
      </c>
      <c r="E175" s="140"/>
      <c r="F175" s="140">
        <v>78.634</v>
      </c>
      <c r="G175" s="140"/>
      <c r="H175" s="259">
        <v>45.783000000000001</v>
      </c>
      <c r="I175" s="259">
        <v>32.850999999999999</v>
      </c>
      <c r="J175" s="44">
        <f t="shared" si="5"/>
        <v>109.5059046345811</v>
      </c>
      <c r="K175" s="44">
        <f t="shared" si="4"/>
        <v>2.8947647861880626E-2</v>
      </c>
    </row>
    <row r="176" spans="2:11" x14ac:dyDescent="0.35">
      <c r="B176" s="21">
        <v>169</v>
      </c>
      <c r="C176" s="137" t="s">
        <v>251</v>
      </c>
      <c r="D176" s="55">
        <v>112.003</v>
      </c>
      <c r="E176" s="140"/>
      <c r="F176" s="140">
        <v>75.784000000000006</v>
      </c>
      <c r="G176" s="140"/>
      <c r="H176" s="259">
        <v>42.790999999999997</v>
      </c>
      <c r="I176" s="259">
        <v>32.993000000000002</v>
      </c>
      <c r="J176" s="44">
        <f t="shared" si="5"/>
        <v>67.662473326607326</v>
      </c>
      <c r="K176" s="44">
        <f t="shared" si="4"/>
        <v>2.7898473250308534E-2</v>
      </c>
    </row>
    <row r="177" spans="2:11" x14ac:dyDescent="0.35">
      <c r="B177" s="21">
        <v>170</v>
      </c>
      <c r="C177" s="137" t="s">
        <v>152</v>
      </c>
      <c r="D177" s="55">
        <v>615.72900000000004</v>
      </c>
      <c r="E177" s="140"/>
      <c r="F177" s="140">
        <v>75.47</v>
      </c>
      <c r="G177" s="140"/>
      <c r="H177" s="259">
        <v>38.305999999999997</v>
      </c>
      <c r="I177" s="259">
        <v>37.164000000000001</v>
      </c>
      <c r="J177" s="44">
        <f t="shared" si="5"/>
        <v>12.257015667607014</v>
      </c>
      <c r="K177" s="44">
        <f t="shared" si="4"/>
        <v>2.7782879977314278E-2</v>
      </c>
    </row>
    <row r="178" spans="2:11" x14ac:dyDescent="0.35">
      <c r="B178" s="21">
        <v>171</v>
      </c>
      <c r="C178" s="137" t="s">
        <v>262</v>
      </c>
      <c r="D178" s="55">
        <v>104.494</v>
      </c>
      <c r="E178" s="140"/>
      <c r="F178" s="140">
        <v>74.433000000000007</v>
      </c>
      <c r="G178" s="140"/>
      <c r="H178" s="259">
        <v>37.792999999999999</v>
      </c>
      <c r="I178" s="259">
        <v>36.64</v>
      </c>
      <c r="J178" s="44">
        <f t="shared" si="5"/>
        <v>71.231841062644747</v>
      </c>
      <c r="K178" s="44">
        <f t="shared" si="4"/>
        <v>2.7401127671279099E-2</v>
      </c>
    </row>
    <row r="179" spans="2:11" x14ac:dyDescent="0.35">
      <c r="B179" s="21">
        <v>172</v>
      </c>
      <c r="C179" s="137" t="s">
        <v>235</v>
      </c>
      <c r="D179" s="55">
        <v>3225.1669999999999</v>
      </c>
      <c r="E179" s="140"/>
      <c r="F179" s="140">
        <v>73.488</v>
      </c>
      <c r="G179" s="140"/>
      <c r="H179" s="259">
        <v>38.338000000000001</v>
      </c>
      <c r="I179" s="259">
        <v>35.15</v>
      </c>
      <c r="J179" s="44">
        <f t="shared" si="5"/>
        <v>2.2785796828505314</v>
      </c>
      <c r="K179" s="44">
        <f t="shared" si="4"/>
        <v>2.7053243457968352E-2</v>
      </c>
    </row>
    <row r="180" spans="2:11" x14ac:dyDescent="0.35">
      <c r="B180" s="21">
        <v>173</v>
      </c>
      <c r="C180" s="137" t="s">
        <v>201</v>
      </c>
      <c r="D180" s="55">
        <v>390.35300000000001</v>
      </c>
      <c r="E180" s="140"/>
      <c r="F180" s="140">
        <v>68.144000000000005</v>
      </c>
      <c r="G180" s="140"/>
      <c r="H180" s="259">
        <v>39.792999999999999</v>
      </c>
      <c r="I180" s="259">
        <v>28.350999999999999</v>
      </c>
      <c r="J180" s="44">
        <f t="shared" si="5"/>
        <v>17.457019671937964</v>
      </c>
      <c r="K180" s="44">
        <f t="shared" si="4"/>
        <v>2.5085949028410021E-2</v>
      </c>
    </row>
    <row r="181" spans="2:11" x14ac:dyDescent="0.35">
      <c r="B181" s="21">
        <v>174</v>
      </c>
      <c r="C181" s="137" t="s">
        <v>248</v>
      </c>
      <c r="D181" s="55">
        <v>182.79</v>
      </c>
      <c r="E181" s="140"/>
      <c r="F181" s="140">
        <v>63.604999999999997</v>
      </c>
      <c r="G181" s="140"/>
      <c r="H181" s="259">
        <v>36.436999999999998</v>
      </c>
      <c r="I181" s="259">
        <v>27.167999999999999</v>
      </c>
      <c r="J181" s="44">
        <f t="shared" si="5"/>
        <v>34.796761310793805</v>
      </c>
      <c r="K181" s="44">
        <f t="shared" si="4"/>
        <v>2.3415000410190467E-2</v>
      </c>
    </row>
    <row r="182" spans="2:11" ht="27" x14ac:dyDescent="0.35">
      <c r="B182" s="21">
        <v>175</v>
      </c>
      <c r="C182" s="137" t="s">
        <v>260</v>
      </c>
      <c r="D182" s="55">
        <v>110.589</v>
      </c>
      <c r="E182" s="140"/>
      <c r="F182" s="140">
        <v>60.655000000000001</v>
      </c>
      <c r="G182" s="140"/>
      <c r="H182" s="259">
        <v>31.548999999999999</v>
      </c>
      <c r="I182" s="259">
        <v>29.106000000000002</v>
      </c>
      <c r="J182" s="44">
        <f t="shared" si="5"/>
        <v>54.847227120237996</v>
      </c>
      <c r="K182" s="44">
        <f t="shared" si="4"/>
        <v>2.2329012654352689E-2</v>
      </c>
    </row>
    <row r="183" spans="2:11" x14ac:dyDescent="0.35">
      <c r="B183" s="21">
        <v>176</v>
      </c>
      <c r="C183" s="137" t="s">
        <v>125</v>
      </c>
      <c r="D183" s="55">
        <v>1641.172</v>
      </c>
      <c r="E183" s="140"/>
      <c r="F183" s="140">
        <v>60.152999999999999</v>
      </c>
      <c r="G183" s="140"/>
      <c r="H183" s="259">
        <v>35.936999999999998</v>
      </c>
      <c r="I183" s="259">
        <v>24.216000000000001</v>
      </c>
      <c r="J183" s="44">
        <f t="shared" si="5"/>
        <v>3.6652465433239168</v>
      </c>
      <c r="K183" s="44">
        <f t="shared" si="4"/>
        <v>2.2144210670138938E-2</v>
      </c>
    </row>
    <row r="184" spans="2:11" x14ac:dyDescent="0.35">
      <c r="B184" s="21">
        <v>177</v>
      </c>
      <c r="C184" s="137" t="s">
        <v>225</v>
      </c>
      <c r="D184" s="55">
        <v>97.117999999999995</v>
      </c>
      <c r="E184" s="140"/>
      <c r="F184" s="140">
        <v>55.088999999999999</v>
      </c>
      <c r="G184" s="140"/>
      <c r="H184" s="259">
        <v>30.135999999999999</v>
      </c>
      <c r="I184" s="259">
        <v>24.952999999999999</v>
      </c>
      <c r="J184" s="44">
        <f t="shared" si="5"/>
        <v>56.723779320002478</v>
      </c>
      <c r="K184" s="44">
        <f t="shared" si="4"/>
        <v>2.0279993044524526E-2</v>
      </c>
    </row>
    <row r="185" spans="2:11" x14ac:dyDescent="0.35">
      <c r="B185" s="21">
        <v>178</v>
      </c>
      <c r="C185" s="137" t="s">
        <v>206</v>
      </c>
      <c r="D185" s="55">
        <v>763.09199999999998</v>
      </c>
      <c r="E185" s="140"/>
      <c r="F185" s="140">
        <v>49.216000000000001</v>
      </c>
      <c r="G185" s="140"/>
      <c r="H185" s="259">
        <v>23.975999999999999</v>
      </c>
      <c r="I185" s="259">
        <v>25.24</v>
      </c>
      <c r="J185" s="44">
        <f t="shared" si="5"/>
        <v>6.4495499887300616</v>
      </c>
      <c r="K185" s="44">
        <f t="shared" si="4"/>
        <v>1.8117957081800709E-2</v>
      </c>
    </row>
    <row r="186" spans="2:11" x14ac:dyDescent="0.35">
      <c r="B186" s="21">
        <v>179</v>
      </c>
      <c r="C186" s="137" t="s">
        <v>179</v>
      </c>
      <c r="D186" s="55">
        <v>433.28500000000003</v>
      </c>
      <c r="E186" s="140"/>
      <c r="F186" s="140">
        <v>46.976999999999997</v>
      </c>
      <c r="G186" s="140"/>
      <c r="H186" s="259">
        <v>19.373000000000001</v>
      </c>
      <c r="I186" s="259">
        <v>27.603999999999999</v>
      </c>
      <c r="J186" s="44">
        <f t="shared" si="5"/>
        <v>10.84205546003208</v>
      </c>
      <c r="K186" s="44">
        <f t="shared" si="4"/>
        <v>1.7293710781691965E-2</v>
      </c>
    </row>
    <row r="187" spans="2:11" x14ac:dyDescent="0.35">
      <c r="B187" s="21">
        <v>180</v>
      </c>
      <c r="C187" s="137" t="s">
        <v>140</v>
      </c>
      <c r="D187" s="55">
        <v>2172.5790000000002</v>
      </c>
      <c r="E187" s="140"/>
      <c r="F187" s="140">
        <v>46.683999999999997</v>
      </c>
      <c r="G187" s="140"/>
      <c r="H187" s="259">
        <v>24.335000000000001</v>
      </c>
      <c r="I187" s="259">
        <v>22.349</v>
      </c>
      <c r="J187" s="44">
        <f t="shared" si="5"/>
        <v>2.1487826219437816</v>
      </c>
      <c r="K187" s="44">
        <f t="shared" si="4"/>
        <v>1.7185848268993501E-2</v>
      </c>
    </row>
    <row r="188" spans="2:11" x14ac:dyDescent="0.35">
      <c r="B188" s="21">
        <v>181</v>
      </c>
      <c r="C188" s="137" t="s">
        <v>199</v>
      </c>
      <c r="D188" s="55">
        <v>389.48200000000003</v>
      </c>
      <c r="E188" s="140"/>
      <c r="F188" s="140">
        <v>46.466999999999999</v>
      </c>
      <c r="G188" s="140"/>
      <c r="H188" s="259">
        <v>27.087</v>
      </c>
      <c r="I188" s="259">
        <v>19.38</v>
      </c>
      <c r="J188" s="44">
        <f t="shared" si="5"/>
        <v>11.93046148474127</v>
      </c>
      <c r="K188" s="44">
        <f t="shared" si="4"/>
        <v>1.710596374593696E-2</v>
      </c>
    </row>
    <row r="189" spans="2:11" x14ac:dyDescent="0.35">
      <c r="B189" s="21">
        <v>182</v>
      </c>
      <c r="C189" s="137" t="s">
        <v>207</v>
      </c>
      <c r="D189" s="55">
        <v>339.03100000000001</v>
      </c>
      <c r="E189" s="140"/>
      <c r="F189" s="140">
        <v>42.186</v>
      </c>
      <c r="G189" s="140"/>
      <c r="H189" s="259">
        <v>21.402999999999999</v>
      </c>
      <c r="I189" s="259">
        <v>20.783000000000001</v>
      </c>
      <c r="J189" s="44">
        <f t="shared" si="5"/>
        <v>12.443109922101518</v>
      </c>
      <c r="K189" s="44">
        <f t="shared" si="4"/>
        <v>1.5529993039922885E-2</v>
      </c>
    </row>
    <row r="190" spans="2:11" x14ac:dyDescent="0.35">
      <c r="B190" s="21">
        <v>183</v>
      </c>
      <c r="C190" s="137" t="s">
        <v>247</v>
      </c>
      <c r="D190" s="55">
        <v>1293.1189999999999</v>
      </c>
      <c r="E190" s="140"/>
      <c r="F190" s="140">
        <v>39.201999999999998</v>
      </c>
      <c r="G190" s="140"/>
      <c r="H190" s="259">
        <v>17.542000000000002</v>
      </c>
      <c r="I190" s="259">
        <v>21.66</v>
      </c>
      <c r="J190" s="44">
        <f t="shared" si="5"/>
        <v>3.0315848734725885</v>
      </c>
      <c r="K190" s="44">
        <f t="shared" si="4"/>
        <v>1.4431488815034772E-2</v>
      </c>
    </row>
    <row r="191" spans="2:11" ht="27" x14ac:dyDescent="0.35">
      <c r="B191" s="21">
        <v>184</v>
      </c>
      <c r="C191" s="137" t="s">
        <v>268</v>
      </c>
      <c r="D191" s="55">
        <v>215.05600000000001</v>
      </c>
      <c r="E191" s="140"/>
      <c r="F191" s="140">
        <v>37.012999999999998</v>
      </c>
      <c r="G191" s="140"/>
      <c r="H191" s="259">
        <v>19.631</v>
      </c>
      <c r="I191" s="259">
        <v>17.382000000000001</v>
      </c>
      <c r="J191" s="44">
        <f t="shared" si="5"/>
        <v>17.210866006993523</v>
      </c>
      <c r="K191" s="44">
        <f t="shared" si="4"/>
        <v>1.3625649087058874E-2</v>
      </c>
    </row>
    <row r="192" spans="2:11" x14ac:dyDescent="0.35">
      <c r="B192" s="21">
        <v>185</v>
      </c>
      <c r="C192" s="137" t="s">
        <v>244</v>
      </c>
      <c r="D192" s="55">
        <v>97.739000000000004</v>
      </c>
      <c r="E192" s="140"/>
      <c r="F192" s="140">
        <v>36.787999999999997</v>
      </c>
      <c r="G192" s="140"/>
      <c r="H192" s="259">
        <v>20.042999999999999</v>
      </c>
      <c r="I192" s="259">
        <v>16.745000000000001</v>
      </c>
      <c r="J192" s="44">
        <f t="shared" si="5"/>
        <v>37.639018201536736</v>
      </c>
      <c r="K192" s="44">
        <f t="shared" si="4"/>
        <v>1.3542819512461076E-2</v>
      </c>
    </row>
    <row r="193" spans="2:11" x14ac:dyDescent="0.35">
      <c r="B193" s="21">
        <v>186</v>
      </c>
      <c r="C193" s="137" t="s">
        <v>229</v>
      </c>
      <c r="D193" s="55">
        <v>38.963999999999999</v>
      </c>
      <c r="E193" s="140"/>
      <c r="F193" s="140">
        <v>31.452000000000002</v>
      </c>
      <c r="G193" s="140"/>
      <c r="H193" s="259">
        <v>16.553999999999998</v>
      </c>
      <c r="I193" s="259">
        <v>14.898</v>
      </c>
      <c r="J193" s="44">
        <f t="shared" si="5"/>
        <v>80.720665229442574</v>
      </c>
      <c r="K193" s="44">
        <f t="shared" si="4"/>
        <v>1.1578470134444E-2</v>
      </c>
    </row>
    <row r="194" spans="2:11" x14ac:dyDescent="0.35">
      <c r="B194" s="21">
        <v>187</v>
      </c>
      <c r="C194" s="137" t="s">
        <v>231</v>
      </c>
      <c r="D194" s="55">
        <v>38.191000000000003</v>
      </c>
      <c r="E194" s="140"/>
      <c r="F194" s="140">
        <v>31.033000000000001</v>
      </c>
      <c r="G194" s="140"/>
      <c r="H194" s="259">
        <v>14.518000000000001</v>
      </c>
      <c r="I194" s="259">
        <v>16.515000000000001</v>
      </c>
      <c r="J194" s="44">
        <f t="shared" si="5"/>
        <v>81.257364300489641</v>
      </c>
      <c r="K194" s="44">
        <f t="shared" si="4"/>
        <v>1.142422305997077E-2</v>
      </c>
    </row>
    <row r="195" spans="2:11" ht="27" x14ac:dyDescent="0.35">
      <c r="B195" s="21">
        <v>188</v>
      </c>
      <c r="C195" s="137" t="s">
        <v>285</v>
      </c>
      <c r="D195" s="55">
        <v>42.387999999999998</v>
      </c>
      <c r="E195" s="140"/>
      <c r="F195" s="140">
        <v>29.209</v>
      </c>
      <c r="G195" s="140"/>
      <c r="H195" s="259">
        <v>14.593999999999999</v>
      </c>
      <c r="I195" s="259">
        <v>14.615</v>
      </c>
      <c r="J195" s="44">
        <f t="shared" si="5"/>
        <v>68.90865339246956</v>
      </c>
      <c r="K195" s="44">
        <f t="shared" si="4"/>
        <v>1.075275130856463E-2</v>
      </c>
    </row>
    <row r="196" spans="2:11" ht="27" x14ac:dyDescent="0.35">
      <c r="B196" s="21">
        <v>189</v>
      </c>
      <c r="C196" s="137" t="s">
        <v>204</v>
      </c>
      <c r="D196" s="55">
        <v>104.578</v>
      </c>
      <c r="E196" s="140"/>
      <c r="F196" s="140">
        <v>25.863</v>
      </c>
      <c r="G196" s="140"/>
      <c r="H196" s="259">
        <v>13.145</v>
      </c>
      <c r="I196" s="259">
        <v>12.718</v>
      </c>
      <c r="J196" s="44">
        <f t="shared" si="5"/>
        <v>24.730822926428118</v>
      </c>
      <c r="K196" s="44">
        <f t="shared" si="4"/>
        <v>9.5209835014347308E-3</v>
      </c>
    </row>
    <row r="197" spans="2:11" x14ac:dyDescent="0.35">
      <c r="B197" s="21">
        <v>190</v>
      </c>
      <c r="C197" s="137" t="s">
        <v>98</v>
      </c>
      <c r="D197" s="55">
        <v>4974.9859999999999</v>
      </c>
      <c r="E197" s="140"/>
      <c r="F197" s="140">
        <v>24.939</v>
      </c>
      <c r="G197" s="140"/>
      <c r="H197" s="259">
        <v>11.675000000000001</v>
      </c>
      <c r="I197" s="259">
        <v>13.263999999999999</v>
      </c>
      <c r="J197" s="44">
        <f t="shared" si="5"/>
        <v>0.50128784282006023</v>
      </c>
      <c r="K197" s="44">
        <f t="shared" si="4"/>
        <v>9.1808300484197778E-3</v>
      </c>
    </row>
    <row r="198" spans="2:11" x14ac:dyDescent="0.35">
      <c r="B198" s="21">
        <v>191</v>
      </c>
      <c r="C198" s="137" t="s">
        <v>270</v>
      </c>
      <c r="D198" s="55">
        <v>4.9889999999999999</v>
      </c>
      <c r="E198" s="140"/>
      <c r="F198" s="140">
        <v>22.838000000000001</v>
      </c>
      <c r="G198" s="140"/>
      <c r="H198" s="259">
        <v>12.829000000000001</v>
      </c>
      <c r="I198" s="259">
        <v>10.009</v>
      </c>
      <c r="J198" s="44">
        <f t="shared" si="5"/>
        <v>457.76708759270394</v>
      </c>
      <c r="K198" s="44">
        <f t="shared" si="4"/>
        <v>8.4073858873976864E-3</v>
      </c>
    </row>
    <row r="199" spans="2:11" x14ac:dyDescent="0.35">
      <c r="B199" s="21">
        <v>192</v>
      </c>
      <c r="C199" s="137" t="s">
        <v>188</v>
      </c>
      <c r="D199" s="55">
        <v>172.25899999999999</v>
      </c>
      <c r="E199" s="140"/>
      <c r="F199" s="140">
        <v>22.545000000000002</v>
      </c>
      <c r="G199" s="140"/>
      <c r="H199" s="259">
        <v>11.725</v>
      </c>
      <c r="I199" s="259">
        <v>10.82</v>
      </c>
      <c r="J199" s="44">
        <f t="shared" si="5"/>
        <v>13.08785027197418</v>
      </c>
      <c r="K199" s="44">
        <f t="shared" si="4"/>
        <v>8.2995233746992227E-3</v>
      </c>
    </row>
    <row r="200" spans="2:11" x14ac:dyDescent="0.35">
      <c r="B200" s="21">
        <v>193</v>
      </c>
      <c r="C200" s="137" t="s">
        <v>263</v>
      </c>
      <c r="D200" s="55">
        <v>17.547999999999998</v>
      </c>
      <c r="E200" s="140"/>
      <c r="F200" s="140">
        <v>22.488</v>
      </c>
      <c r="G200" s="140"/>
      <c r="H200" s="259">
        <v>11.372999999999999</v>
      </c>
      <c r="I200" s="259">
        <v>11.115</v>
      </c>
      <c r="J200" s="44">
        <f t="shared" si="5"/>
        <v>128.15135627991793</v>
      </c>
      <c r="K200" s="44">
        <f t="shared" si="4"/>
        <v>8.2785398824677808E-3</v>
      </c>
    </row>
    <row r="201" spans="2:11" x14ac:dyDescent="0.35">
      <c r="B201" s="21">
        <v>194</v>
      </c>
      <c r="C201" s="137" t="s">
        <v>286</v>
      </c>
      <c r="D201" s="55">
        <v>113.815</v>
      </c>
      <c r="E201" s="140"/>
      <c r="F201" s="140">
        <v>21.818999999999999</v>
      </c>
      <c r="G201" s="140"/>
      <c r="H201" s="259">
        <v>10.983000000000001</v>
      </c>
      <c r="I201" s="259">
        <v>10.836</v>
      </c>
      <c r="J201" s="44">
        <f t="shared" si="5"/>
        <v>19.170583842200063</v>
      </c>
      <c r="K201" s="44">
        <f t="shared" ref="K201:K241" si="6">(F201/$F$7)*100</f>
        <v>8.0322599473303322E-3</v>
      </c>
    </row>
    <row r="202" spans="2:11" x14ac:dyDescent="0.35">
      <c r="B202" s="21">
        <v>195</v>
      </c>
      <c r="C202" s="137" t="s">
        <v>218</v>
      </c>
      <c r="D202" s="55">
        <v>106.31399999999999</v>
      </c>
      <c r="E202" s="140"/>
      <c r="F202" s="140">
        <v>19.64</v>
      </c>
      <c r="G202" s="140"/>
      <c r="H202" s="259">
        <v>10.986000000000001</v>
      </c>
      <c r="I202" s="259">
        <v>8.6539999999999999</v>
      </c>
      <c r="J202" s="44">
        <f t="shared" si="5"/>
        <v>18.473578268149069</v>
      </c>
      <c r="K202" s="44">
        <f t="shared" si="6"/>
        <v>7.2301015337810038E-3</v>
      </c>
    </row>
    <row r="203" spans="2:11" x14ac:dyDescent="0.35">
      <c r="B203" s="21">
        <v>196</v>
      </c>
      <c r="C203" s="137" t="s">
        <v>254</v>
      </c>
      <c r="D203" s="55">
        <v>56.671999999999997</v>
      </c>
      <c r="E203" s="140"/>
      <c r="F203" s="140">
        <v>18.684000000000001</v>
      </c>
      <c r="G203" s="140"/>
      <c r="H203" s="259">
        <v>10.702</v>
      </c>
      <c r="I203" s="259">
        <v>7.9820000000000002</v>
      </c>
      <c r="J203" s="44">
        <f t="shared" ref="J203:J239" si="7">(F203/D203)*100</f>
        <v>32.968661773009607</v>
      </c>
      <c r="K203" s="44">
        <f t="shared" si="6"/>
        <v>6.8781678746010332E-3</v>
      </c>
    </row>
    <row r="204" spans="2:11" x14ac:dyDescent="0.35">
      <c r="B204" s="21">
        <v>197</v>
      </c>
      <c r="C204" s="137" t="s">
        <v>178</v>
      </c>
      <c r="D204" s="55">
        <v>973.56</v>
      </c>
      <c r="E204" s="140"/>
      <c r="F204" s="140">
        <v>18.667999999999999</v>
      </c>
      <c r="G204" s="140"/>
      <c r="H204" s="259">
        <v>9.1820000000000004</v>
      </c>
      <c r="I204" s="259">
        <v>9.4860000000000007</v>
      </c>
      <c r="J204" s="44">
        <f t="shared" si="7"/>
        <v>1.9174986646945231</v>
      </c>
      <c r="K204" s="44">
        <f t="shared" si="6"/>
        <v>6.8722777715185214E-3</v>
      </c>
    </row>
    <row r="205" spans="2:11" x14ac:dyDescent="0.35">
      <c r="B205" s="21">
        <v>198</v>
      </c>
      <c r="C205" s="137" t="s">
        <v>237</v>
      </c>
      <c r="D205" s="55">
        <v>62.506</v>
      </c>
      <c r="E205" s="140"/>
      <c r="F205" s="140">
        <v>18.048999999999999</v>
      </c>
      <c r="G205" s="140"/>
      <c r="H205" s="259">
        <v>9.1850000000000005</v>
      </c>
      <c r="I205" s="259">
        <v>8.8640000000000008</v>
      </c>
      <c r="J205" s="44">
        <f t="shared" si="7"/>
        <v>28.875627939717784</v>
      </c>
      <c r="K205" s="44">
        <f t="shared" si="6"/>
        <v>6.6444044085139176E-3</v>
      </c>
    </row>
    <row r="206" spans="2:11" x14ac:dyDescent="0.35">
      <c r="B206" s="21">
        <v>199</v>
      </c>
      <c r="C206" s="137" t="s">
        <v>246</v>
      </c>
      <c r="D206" s="55">
        <v>33.701000000000001</v>
      </c>
      <c r="E206" s="140"/>
      <c r="F206" s="140">
        <v>14.32</v>
      </c>
      <c r="G206" s="140"/>
      <c r="H206" s="259">
        <v>7.35</v>
      </c>
      <c r="I206" s="259">
        <v>6.97</v>
      </c>
      <c r="J206" s="44">
        <f t="shared" si="7"/>
        <v>42.491320732322485</v>
      </c>
      <c r="K206" s="44">
        <f t="shared" si="6"/>
        <v>5.2716422588464347E-3</v>
      </c>
    </row>
    <row r="207" spans="2:11" x14ac:dyDescent="0.35">
      <c r="B207" s="21">
        <v>200</v>
      </c>
      <c r="C207" s="137" t="s">
        <v>200</v>
      </c>
      <c r="D207" s="55">
        <v>375.55399999999997</v>
      </c>
      <c r="E207" s="140"/>
      <c r="F207" s="140">
        <v>13.919</v>
      </c>
      <c r="G207" s="140"/>
      <c r="H207" s="259">
        <v>7.66</v>
      </c>
      <c r="I207" s="259">
        <v>6.2590000000000003</v>
      </c>
      <c r="J207" s="44">
        <f t="shared" si="7"/>
        <v>3.7062579549146069</v>
      </c>
      <c r="K207" s="44">
        <f t="shared" si="6"/>
        <v>5.1240215503410291E-3</v>
      </c>
    </row>
    <row r="208" spans="2:11" x14ac:dyDescent="0.35">
      <c r="B208" s="21">
        <v>201</v>
      </c>
      <c r="C208" s="137" t="s">
        <v>253</v>
      </c>
      <c r="D208" s="55">
        <v>48.677999999999997</v>
      </c>
      <c r="E208" s="140"/>
      <c r="F208" s="140">
        <v>13.837999999999999</v>
      </c>
      <c r="G208" s="140"/>
      <c r="H208" s="259">
        <v>7.9169999999999998</v>
      </c>
      <c r="I208" s="259">
        <v>5.9210000000000003</v>
      </c>
      <c r="J208" s="44">
        <f t="shared" si="7"/>
        <v>28.427626443157074</v>
      </c>
      <c r="K208" s="44">
        <f t="shared" si="6"/>
        <v>5.0942029034858208E-3</v>
      </c>
    </row>
    <row r="209" spans="2:11" x14ac:dyDescent="0.35">
      <c r="B209" s="21">
        <v>202</v>
      </c>
      <c r="C209" s="137" t="s">
        <v>284</v>
      </c>
      <c r="D209" s="55">
        <v>84.584000000000003</v>
      </c>
      <c r="E209" s="140"/>
      <c r="F209" s="140">
        <v>12.808999999999999</v>
      </c>
      <c r="G209" s="140"/>
      <c r="H209" s="259">
        <v>6.5529999999999999</v>
      </c>
      <c r="I209" s="259">
        <v>6.2560000000000002</v>
      </c>
      <c r="J209" s="44">
        <f t="shared" si="7"/>
        <v>15.143525962356946</v>
      </c>
      <c r="K209" s="44">
        <f t="shared" si="6"/>
        <v>4.7153956489918982E-3</v>
      </c>
    </row>
    <row r="210" spans="2:11" ht="27" x14ac:dyDescent="0.35">
      <c r="B210" s="21">
        <v>203</v>
      </c>
      <c r="C210" s="137" t="s">
        <v>242</v>
      </c>
      <c r="D210" s="55">
        <v>25.978999999999999</v>
      </c>
      <c r="E210" s="140"/>
      <c r="F210" s="140">
        <v>12.763999999999999</v>
      </c>
      <c r="G210" s="140"/>
      <c r="H210" s="259">
        <v>6.8070000000000004</v>
      </c>
      <c r="I210" s="259">
        <v>5.9569999999999999</v>
      </c>
      <c r="J210" s="44">
        <f t="shared" si="7"/>
        <v>49.131991223680664</v>
      </c>
      <c r="K210" s="44">
        <f t="shared" si="6"/>
        <v>4.6988297340723384E-3</v>
      </c>
    </row>
    <row r="211" spans="2:11" x14ac:dyDescent="0.35">
      <c r="B211" s="21">
        <v>204</v>
      </c>
      <c r="C211" s="137" t="s">
        <v>183</v>
      </c>
      <c r="D211" s="55">
        <v>447.90499999999997</v>
      </c>
      <c r="E211" s="140"/>
      <c r="F211" s="140">
        <v>11.856</v>
      </c>
      <c r="G211" s="140"/>
      <c r="H211" s="259">
        <v>7.0359999999999996</v>
      </c>
      <c r="I211" s="259">
        <v>4.82</v>
      </c>
      <c r="J211" s="44">
        <f t="shared" si="7"/>
        <v>2.6469898750851186</v>
      </c>
      <c r="K211" s="44">
        <f t="shared" si="6"/>
        <v>4.3645663841398973E-3</v>
      </c>
    </row>
    <row r="212" spans="2:11" x14ac:dyDescent="0.35">
      <c r="B212" s="21">
        <v>205</v>
      </c>
      <c r="C212" s="137" t="s">
        <v>271</v>
      </c>
      <c r="D212" s="55">
        <v>11.432</v>
      </c>
      <c r="E212" s="140"/>
      <c r="F212" s="140">
        <v>11.82</v>
      </c>
      <c r="G212" s="140"/>
      <c r="H212" s="259">
        <v>6.1890000000000001</v>
      </c>
      <c r="I212" s="259">
        <v>5.6310000000000002</v>
      </c>
      <c r="J212" s="44">
        <f t="shared" si="7"/>
        <v>103.39398180545835</v>
      </c>
      <c r="K212" s="44">
        <f t="shared" si="6"/>
        <v>4.3513136522042497E-3</v>
      </c>
    </row>
    <row r="213" spans="2:11" x14ac:dyDescent="0.35">
      <c r="B213" s="21">
        <v>206</v>
      </c>
      <c r="C213" s="137" t="s">
        <v>212</v>
      </c>
      <c r="D213" s="55">
        <v>77.141999999999996</v>
      </c>
      <c r="E213" s="140"/>
      <c r="F213" s="140">
        <v>9.1140000000000008</v>
      </c>
      <c r="G213" s="140"/>
      <c r="H213" s="259">
        <v>4.7880000000000003</v>
      </c>
      <c r="I213" s="259">
        <v>4.3259999999999996</v>
      </c>
      <c r="J213" s="44">
        <f t="shared" si="7"/>
        <v>11.814575717507973</v>
      </c>
      <c r="K213" s="44">
        <f t="shared" si="6"/>
        <v>3.3551499683747493E-3</v>
      </c>
    </row>
    <row r="214" spans="2:11" x14ac:dyDescent="0.35">
      <c r="B214" s="21">
        <v>207</v>
      </c>
      <c r="C214" s="137" t="s">
        <v>264</v>
      </c>
      <c r="D214" s="55">
        <v>58.790999999999997</v>
      </c>
      <c r="E214" s="140"/>
      <c r="F214" s="140">
        <v>8.2050000000000001</v>
      </c>
      <c r="G214" s="140"/>
      <c r="H214" s="259">
        <v>4.2</v>
      </c>
      <c r="I214" s="259">
        <v>4.0049999999999999</v>
      </c>
      <c r="J214" s="44">
        <f t="shared" si="7"/>
        <v>13.956217788437005</v>
      </c>
      <c r="K214" s="44">
        <f t="shared" si="6"/>
        <v>3.0205184869996509E-3</v>
      </c>
    </row>
    <row r="215" spans="2:11" x14ac:dyDescent="0.35">
      <c r="B215" s="21">
        <v>208</v>
      </c>
      <c r="C215" s="137" t="s">
        <v>265</v>
      </c>
      <c r="D215" s="55">
        <v>299.88200000000001</v>
      </c>
      <c r="E215" s="140"/>
      <c r="F215" s="140">
        <v>7.3460000000000001</v>
      </c>
      <c r="G215" s="140"/>
      <c r="H215" s="259">
        <v>3.8690000000000002</v>
      </c>
      <c r="I215" s="259">
        <v>3.4769999999999999</v>
      </c>
      <c r="J215" s="44">
        <f t="shared" si="7"/>
        <v>2.4496301878738973</v>
      </c>
      <c r="K215" s="44">
        <f t="shared" si="6"/>
        <v>2.7042935777573957E-3</v>
      </c>
    </row>
    <row r="216" spans="2:11" x14ac:dyDescent="0.35">
      <c r="B216" s="21">
        <v>209</v>
      </c>
      <c r="C216" s="137" t="s">
        <v>195</v>
      </c>
      <c r="D216" s="55">
        <v>266.14999999999998</v>
      </c>
      <c r="E216" s="140"/>
      <c r="F216" s="140">
        <v>6.617</v>
      </c>
      <c r="G216" s="140"/>
      <c r="H216" s="259">
        <v>3.387</v>
      </c>
      <c r="I216" s="259">
        <v>3.23</v>
      </c>
      <c r="J216" s="44">
        <f t="shared" si="7"/>
        <v>2.4861919969941764</v>
      </c>
      <c r="K216" s="44">
        <f t="shared" si="6"/>
        <v>2.4359257560605347E-3</v>
      </c>
    </row>
    <row r="217" spans="2:11" x14ac:dyDescent="0.35">
      <c r="B217" s="21">
        <v>210</v>
      </c>
      <c r="C217" s="137" t="s">
        <v>276</v>
      </c>
      <c r="D217" s="55">
        <v>6.0590000000000002</v>
      </c>
      <c r="E217" s="140"/>
      <c r="F217" s="140">
        <v>6.5960000000000001</v>
      </c>
      <c r="G217" s="140"/>
      <c r="H217" s="259">
        <v>4.0140000000000002</v>
      </c>
      <c r="I217" s="259">
        <v>2.5819999999999999</v>
      </c>
      <c r="J217" s="44">
        <f t="shared" si="7"/>
        <v>108.86284865489355</v>
      </c>
      <c r="K217" s="44">
        <f t="shared" si="6"/>
        <v>2.4281949957647405E-3</v>
      </c>
    </row>
    <row r="218" spans="2:11" x14ac:dyDescent="0.35">
      <c r="B218" s="21">
        <v>211</v>
      </c>
      <c r="C218" s="137" t="s">
        <v>274</v>
      </c>
      <c r="D218" s="55">
        <v>1.615</v>
      </c>
      <c r="E218" s="140"/>
      <c r="F218" s="140">
        <v>5.593</v>
      </c>
      <c r="G218" s="140"/>
      <c r="H218" s="259">
        <v>2.8439999999999999</v>
      </c>
      <c r="I218" s="259">
        <v>2.7490000000000001</v>
      </c>
      <c r="J218" s="44">
        <f t="shared" si="7"/>
        <v>346.31578947368422</v>
      </c>
      <c r="K218" s="44">
        <f t="shared" si="6"/>
        <v>2.0589591587798959E-3</v>
      </c>
    </row>
    <row r="219" spans="2:11" ht="27" x14ac:dyDescent="0.35">
      <c r="B219" s="21">
        <v>212</v>
      </c>
      <c r="C219" s="137" t="s">
        <v>236</v>
      </c>
      <c r="D219" s="55">
        <v>30.03</v>
      </c>
      <c r="E219" s="140"/>
      <c r="F219" s="140">
        <v>5.4169999999999998</v>
      </c>
      <c r="G219" s="140"/>
      <c r="H219" s="259">
        <v>3.0179999999999998</v>
      </c>
      <c r="I219" s="259">
        <v>2.399</v>
      </c>
      <c r="J219" s="44">
        <f t="shared" si="7"/>
        <v>18.038628038628037</v>
      </c>
      <c r="K219" s="44">
        <f t="shared" si="6"/>
        <v>1.9941680248722862E-3</v>
      </c>
    </row>
    <row r="220" spans="2:11" x14ac:dyDescent="0.35">
      <c r="B220" s="21">
        <v>213</v>
      </c>
      <c r="C220" s="137" t="s">
        <v>196</v>
      </c>
      <c r="D220" s="55">
        <v>282.75</v>
      </c>
      <c r="E220" s="140"/>
      <c r="F220" s="140">
        <v>5.0979999999999999</v>
      </c>
      <c r="G220" s="140"/>
      <c r="H220" s="259">
        <v>2.6440000000000001</v>
      </c>
      <c r="I220" s="259">
        <v>2.4540000000000002</v>
      </c>
      <c r="J220" s="44">
        <f t="shared" si="7"/>
        <v>1.803006189213086</v>
      </c>
      <c r="K220" s="44">
        <f t="shared" si="6"/>
        <v>1.8767340946647432E-3</v>
      </c>
    </row>
    <row r="221" spans="2:11" x14ac:dyDescent="0.35">
      <c r="B221" s="21">
        <v>214</v>
      </c>
      <c r="C221" s="137" t="s">
        <v>176</v>
      </c>
      <c r="D221" s="55">
        <v>290.83199999999999</v>
      </c>
      <c r="E221" s="140"/>
      <c r="F221" s="140">
        <v>4.5549999999999997</v>
      </c>
      <c r="G221" s="140"/>
      <c r="H221" s="259">
        <v>2.589</v>
      </c>
      <c r="I221" s="259">
        <v>1.966</v>
      </c>
      <c r="J221" s="44">
        <f t="shared" si="7"/>
        <v>1.5661962920173844</v>
      </c>
      <c r="K221" s="44">
        <f t="shared" si="6"/>
        <v>1.6768387213020606E-3</v>
      </c>
    </row>
    <row r="222" spans="2:11" x14ac:dyDescent="0.35">
      <c r="B222" s="21">
        <v>215</v>
      </c>
      <c r="C222" s="137" t="s">
        <v>266</v>
      </c>
      <c r="D222" s="55">
        <v>117.60599999999999</v>
      </c>
      <c r="E222" s="140"/>
      <c r="F222" s="140">
        <v>4.37</v>
      </c>
      <c r="G222" s="140"/>
      <c r="H222" s="259">
        <v>2.2320000000000002</v>
      </c>
      <c r="I222" s="259">
        <v>2.1379999999999999</v>
      </c>
      <c r="J222" s="44">
        <f t="shared" si="7"/>
        <v>3.7157968130877674</v>
      </c>
      <c r="K222" s="44">
        <f t="shared" si="6"/>
        <v>1.608734404410539E-3</v>
      </c>
    </row>
    <row r="223" spans="2:11" x14ac:dyDescent="0.35">
      <c r="B223" s="21">
        <v>216</v>
      </c>
      <c r="C223" s="137" t="s">
        <v>267</v>
      </c>
      <c r="D223" s="55">
        <v>669.82299999999998</v>
      </c>
      <c r="E223" s="140"/>
      <c r="F223" s="140">
        <v>4.234</v>
      </c>
      <c r="G223" s="140"/>
      <c r="H223" s="259">
        <v>2.1760000000000002</v>
      </c>
      <c r="I223" s="259">
        <v>2.0579999999999998</v>
      </c>
      <c r="J223" s="44">
        <f t="shared" si="7"/>
        <v>0.63210728804475214</v>
      </c>
      <c r="K223" s="44">
        <f t="shared" si="6"/>
        <v>1.5586685282092041E-3</v>
      </c>
    </row>
    <row r="224" spans="2:11" x14ac:dyDescent="0.35">
      <c r="B224" s="21">
        <v>217</v>
      </c>
      <c r="C224" s="137" t="s">
        <v>230</v>
      </c>
      <c r="D224" s="55">
        <v>38.018999999999998</v>
      </c>
      <c r="E224" s="140"/>
      <c r="F224" s="140">
        <v>3.7130000000000001</v>
      </c>
      <c r="G224" s="140"/>
      <c r="H224" s="259">
        <v>2.0539999999999998</v>
      </c>
      <c r="I224" s="259">
        <v>1.659</v>
      </c>
      <c r="J224" s="44">
        <f t="shared" si="7"/>
        <v>9.7661695468055445</v>
      </c>
      <c r="K224" s="44">
        <f t="shared" si="6"/>
        <v>1.366872046584973E-3</v>
      </c>
    </row>
    <row r="225" spans="2:11" x14ac:dyDescent="0.35">
      <c r="B225" s="21">
        <v>218</v>
      </c>
      <c r="C225" s="137" t="s">
        <v>277</v>
      </c>
      <c r="D225" s="55">
        <v>11.646000000000001</v>
      </c>
      <c r="E225" s="140"/>
      <c r="F225" s="140">
        <v>3.2759999999999998</v>
      </c>
      <c r="G225" s="140"/>
      <c r="H225" s="259">
        <v>1.66</v>
      </c>
      <c r="I225" s="259">
        <v>1.6160000000000001</v>
      </c>
      <c r="J225" s="44">
        <f t="shared" si="7"/>
        <v>28.129829984544045</v>
      </c>
      <c r="K225" s="44">
        <f t="shared" si="6"/>
        <v>1.2059986061439189E-3</v>
      </c>
    </row>
    <row r="226" spans="2:11" x14ac:dyDescent="0.35">
      <c r="B226" s="21">
        <v>219</v>
      </c>
      <c r="C226" s="137" t="s">
        <v>198</v>
      </c>
      <c r="D226" s="55">
        <v>530.95299999999997</v>
      </c>
      <c r="E226" s="140"/>
      <c r="F226" s="140">
        <v>3.0529999999999999</v>
      </c>
      <c r="G226" s="140"/>
      <c r="H226" s="259">
        <v>1.633</v>
      </c>
      <c r="I226" s="259">
        <v>1.42</v>
      </c>
      <c r="J226" s="44">
        <f t="shared" si="7"/>
        <v>0.57500381389689859</v>
      </c>
      <c r="K226" s="44">
        <f t="shared" si="6"/>
        <v>1.123905294431436E-3</v>
      </c>
    </row>
    <row r="227" spans="2:11" ht="27" x14ac:dyDescent="0.35">
      <c r="B227" s="21">
        <v>220</v>
      </c>
      <c r="C227" s="137" t="s">
        <v>234</v>
      </c>
      <c r="D227" s="55">
        <v>57.216000000000001</v>
      </c>
      <c r="E227" s="140"/>
      <c r="F227" s="140">
        <v>2.7639999999999998</v>
      </c>
      <c r="G227" s="140"/>
      <c r="H227" s="259">
        <v>1.345</v>
      </c>
      <c r="I227" s="259">
        <v>1.419</v>
      </c>
      <c r="J227" s="44">
        <f t="shared" si="7"/>
        <v>4.830816554809843</v>
      </c>
      <c r="K227" s="44">
        <f t="shared" si="6"/>
        <v>1.0175153075035995E-3</v>
      </c>
    </row>
    <row r="228" spans="2:11" x14ac:dyDescent="0.35">
      <c r="B228" s="21">
        <v>221</v>
      </c>
      <c r="C228" s="137" t="s">
        <v>255</v>
      </c>
      <c r="D228" s="55">
        <v>14.869</v>
      </c>
      <c r="E228" s="140"/>
      <c r="F228" s="140">
        <v>2.7069999999999999</v>
      </c>
      <c r="G228" s="140"/>
      <c r="H228" s="259">
        <v>1.298</v>
      </c>
      <c r="I228" s="259">
        <v>1.409</v>
      </c>
      <c r="J228" s="44">
        <f t="shared" si="7"/>
        <v>18.205662788351603</v>
      </c>
      <c r="K228" s="44">
        <f t="shared" si="6"/>
        <v>9.9653181527215766E-4</v>
      </c>
    </row>
    <row r="229" spans="2:11" x14ac:dyDescent="0.35">
      <c r="B229" s="21">
        <v>222</v>
      </c>
      <c r="C229" s="137" t="s">
        <v>258</v>
      </c>
      <c r="D229" s="55">
        <v>18.007999999999999</v>
      </c>
      <c r="E229" s="140"/>
      <c r="F229" s="140">
        <v>2.65</v>
      </c>
      <c r="G229" s="140"/>
      <c r="H229" s="259">
        <v>1.268</v>
      </c>
      <c r="I229" s="259">
        <v>1.3819999999999999</v>
      </c>
      <c r="J229" s="44">
        <f t="shared" si="7"/>
        <v>14.715681919147046</v>
      </c>
      <c r="K229" s="44">
        <f t="shared" si="6"/>
        <v>9.7554832304071583E-4</v>
      </c>
    </row>
    <row r="230" spans="2:11" x14ac:dyDescent="0.35">
      <c r="B230" s="21">
        <v>223</v>
      </c>
      <c r="C230" s="137" t="s">
        <v>256</v>
      </c>
      <c r="D230" s="55">
        <v>33.86</v>
      </c>
      <c r="E230" s="140"/>
      <c r="F230" s="140">
        <v>2.4249999999999998</v>
      </c>
      <c r="G230" s="140"/>
      <c r="H230" s="259">
        <v>1.4450000000000001</v>
      </c>
      <c r="I230" s="259">
        <v>0.98</v>
      </c>
      <c r="J230" s="44">
        <f t="shared" si="7"/>
        <v>7.1618428824571758</v>
      </c>
      <c r="K230" s="44">
        <f t="shared" si="6"/>
        <v>8.9271874844291921E-4</v>
      </c>
    </row>
    <row r="231" spans="2:11" x14ac:dyDescent="0.35">
      <c r="B231" s="21">
        <v>224</v>
      </c>
      <c r="C231" s="137" t="s">
        <v>269</v>
      </c>
      <c r="D231" s="55">
        <v>10.756</v>
      </c>
      <c r="E231" s="140"/>
      <c r="F231" s="140">
        <v>2.4209999999999998</v>
      </c>
      <c r="G231" s="140"/>
      <c r="H231" s="259">
        <v>1.2170000000000001</v>
      </c>
      <c r="I231" s="259">
        <v>1.204</v>
      </c>
      <c r="J231" s="44">
        <f t="shared" si="7"/>
        <v>22.508367422833764</v>
      </c>
      <c r="K231" s="44">
        <f t="shared" si="6"/>
        <v>8.9124622267229179E-4</v>
      </c>
    </row>
    <row r="232" spans="2:11" ht="27" x14ac:dyDescent="0.35">
      <c r="B232" s="21">
        <v>225</v>
      </c>
      <c r="C232" s="137" t="s">
        <v>272</v>
      </c>
      <c r="D232" s="55">
        <v>5.8220000000000001</v>
      </c>
      <c r="E232" s="140"/>
      <c r="F232" s="140">
        <v>2.3559999999999999</v>
      </c>
      <c r="G232" s="140"/>
      <c r="H232" s="259">
        <v>1.2889999999999999</v>
      </c>
      <c r="I232" s="259">
        <v>1.0669999999999999</v>
      </c>
      <c r="J232" s="44">
        <f t="shared" si="7"/>
        <v>40.467193404328405</v>
      </c>
      <c r="K232" s="44">
        <f t="shared" si="6"/>
        <v>8.6731767889959501E-4</v>
      </c>
    </row>
    <row r="233" spans="2:11" x14ac:dyDescent="0.35">
      <c r="B233" s="21">
        <v>226</v>
      </c>
      <c r="C233" s="137" t="s">
        <v>275</v>
      </c>
      <c r="D233" s="55">
        <v>1.34</v>
      </c>
      <c r="E233" s="140"/>
      <c r="F233" s="140">
        <v>2.242</v>
      </c>
      <c r="G233" s="140"/>
      <c r="H233" s="259">
        <v>1.113</v>
      </c>
      <c r="I233" s="259">
        <v>1.129</v>
      </c>
      <c r="J233" s="44">
        <f t="shared" si="7"/>
        <v>167.31343283582086</v>
      </c>
      <c r="K233" s="44">
        <f t="shared" si="6"/>
        <v>8.2535069443671135E-4</v>
      </c>
    </row>
    <row r="234" spans="2:11" x14ac:dyDescent="0.35">
      <c r="B234" s="21">
        <v>227</v>
      </c>
      <c r="C234" s="137" t="s">
        <v>191</v>
      </c>
      <c r="D234" s="55">
        <v>167.29400000000001</v>
      </c>
      <c r="E234" s="140"/>
      <c r="F234" s="140">
        <v>2.1970000000000001</v>
      </c>
      <c r="G234" s="140"/>
      <c r="H234" s="259">
        <v>1.198</v>
      </c>
      <c r="I234" s="259">
        <v>0.999</v>
      </c>
      <c r="J234" s="44">
        <f t="shared" si="7"/>
        <v>1.3132569010245434</v>
      </c>
      <c r="K234" s="44">
        <f t="shared" si="6"/>
        <v>8.0878477951715211E-4</v>
      </c>
    </row>
    <row r="235" spans="2:11" x14ac:dyDescent="0.35">
      <c r="B235" s="21">
        <v>228</v>
      </c>
      <c r="C235" s="137" t="s">
        <v>224</v>
      </c>
      <c r="D235" s="55">
        <v>279.28699999999998</v>
      </c>
      <c r="E235" s="140"/>
      <c r="F235" s="140">
        <v>1.982</v>
      </c>
      <c r="G235" s="140"/>
      <c r="H235" s="259">
        <v>0.879</v>
      </c>
      <c r="I235" s="259">
        <v>1.103</v>
      </c>
      <c r="J235" s="44">
        <f t="shared" si="7"/>
        <v>0.70966425218502838</v>
      </c>
      <c r="K235" s="44">
        <f t="shared" si="6"/>
        <v>7.296365193459241E-4</v>
      </c>
    </row>
    <row r="236" spans="2:11" x14ac:dyDescent="0.35">
      <c r="B236" s="21">
        <v>229</v>
      </c>
      <c r="C236" s="137" t="s">
        <v>226</v>
      </c>
      <c r="D236" s="55">
        <v>64.947999999999993</v>
      </c>
      <c r="E236" s="140"/>
      <c r="F236" s="140">
        <v>1.9730000000000001</v>
      </c>
      <c r="G236" s="140"/>
      <c r="H236" s="259">
        <v>1.071</v>
      </c>
      <c r="I236" s="259">
        <v>0.90200000000000002</v>
      </c>
      <c r="J236" s="44">
        <f t="shared" si="7"/>
        <v>3.0378148672784384</v>
      </c>
      <c r="K236" s="44">
        <f t="shared" si="6"/>
        <v>7.2632333636201232E-4</v>
      </c>
    </row>
    <row r="237" spans="2:11" x14ac:dyDescent="0.35">
      <c r="B237" s="21">
        <v>230</v>
      </c>
      <c r="C237" s="137" t="s">
        <v>232</v>
      </c>
      <c r="D237" s="55">
        <v>55.311999999999998</v>
      </c>
      <c r="E237" s="140"/>
      <c r="F237" s="140">
        <v>1.8169999999999999</v>
      </c>
      <c r="G237" s="140"/>
      <c r="H237" s="259">
        <v>0.90500000000000003</v>
      </c>
      <c r="I237" s="259">
        <v>0.91200000000000003</v>
      </c>
      <c r="J237" s="44">
        <f t="shared" si="7"/>
        <v>3.285001446340758</v>
      </c>
      <c r="K237" s="44">
        <f t="shared" si="6"/>
        <v>6.6889483130753991E-4</v>
      </c>
    </row>
    <row r="238" spans="2:11" x14ac:dyDescent="0.35">
      <c r="B238" s="21">
        <v>231</v>
      </c>
      <c r="C238" s="137" t="s">
        <v>287</v>
      </c>
      <c r="D238" s="55">
        <v>3.3769999999999998</v>
      </c>
      <c r="E238" s="140"/>
      <c r="F238" s="140">
        <v>1.623</v>
      </c>
      <c r="G238" s="140"/>
      <c r="H238" s="259">
        <v>0.93400000000000005</v>
      </c>
      <c r="I238" s="259">
        <v>0.68899999999999995</v>
      </c>
      <c r="J238" s="44">
        <f t="shared" si="7"/>
        <v>48.060408646727872</v>
      </c>
      <c r="K238" s="44">
        <f t="shared" si="6"/>
        <v>5.9747733143210638E-4</v>
      </c>
    </row>
    <row r="239" spans="2:11" x14ac:dyDescent="0.35">
      <c r="B239" s="21">
        <v>232</v>
      </c>
      <c r="C239" s="137" t="s">
        <v>273</v>
      </c>
      <c r="D239" s="55">
        <v>0.79900000000000004</v>
      </c>
      <c r="E239" s="140"/>
      <c r="F239" s="140">
        <v>0.217</v>
      </c>
      <c r="G239" s="140"/>
      <c r="H239" s="259">
        <v>0.122</v>
      </c>
      <c r="I239" s="259">
        <v>9.5000000000000001E-2</v>
      </c>
      <c r="J239" s="44">
        <f t="shared" si="7"/>
        <v>27.158948685857322</v>
      </c>
      <c r="K239" s="44">
        <f t="shared" si="6"/>
        <v>7.9884523056541652E-5</v>
      </c>
    </row>
    <row r="240" spans="2:11" x14ac:dyDescent="0.35">
      <c r="B240" s="21">
        <v>233</v>
      </c>
      <c r="C240" s="137" t="s">
        <v>293</v>
      </c>
      <c r="D240" s="262" t="s">
        <v>290</v>
      </c>
      <c r="E240" s="258"/>
      <c r="F240" s="144">
        <v>7950.4250000000002</v>
      </c>
      <c r="G240" s="258"/>
      <c r="H240" s="259">
        <v>3677.163</v>
      </c>
      <c r="I240" s="259">
        <v>4273.2619999999997</v>
      </c>
      <c r="J240" s="145" t="s">
        <v>290</v>
      </c>
      <c r="K240" s="44">
        <f t="shared" si="6"/>
        <v>2.926801424985277</v>
      </c>
    </row>
    <row r="241" spans="2:16" x14ac:dyDescent="0.35">
      <c r="B241" s="127">
        <v>234</v>
      </c>
      <c r="C241" s="142" t="s">
        <v>294</v>
      </c>
      <c r="D241" s="263" t="s">
        <v>290</v>
      </c>
      <c r="E241" s="143"/>
      <c r="F241" s="143">
        <v>3407.92</v>
      </c>
      <c r="G241" s="143"/>
      <c r="H241" s="264">
        <v>1699</v>
      </c>
      <c r="I241" s="264">
        <v>1708.92</v>
      </c>
      <c r="J241" s="146" t="s">
        <v>290</v>
      </c>
      <c r="K241" s="119">
        <f t="shared" si="6"/>
        <v>1.2545625060592138</v>
      </c>
    </row>
    <row r="242" spans="2:16" x14ac:dyDescent="0.35">
      <c r="B242" s="18"/>
      <c r="C242" s="18"/>
      <c r="D242" s="117"/>
      <c r="E242" s="117"/>
      <c r="F242" s="117"/>
      <c r="G242" s="117"/>
      <c r="H242" s="117"/>
      <c r="I242" s="117"/>
      <c r="J242" s="117"/>
      <c r="K242" s="117"/>
      <c r="L242" s="18"/>
    </row>
    <row r="243" spans="2:16" x14ac:dyDescent="0.35">
      <c r="B243" s="18" t="s">
        <v>292</v>
      </c>
      <c r="C243" s="18"/>
      <c r="D243" s="117"/>
      <c r="E243" s="117"/>
      <c r="F243" s="117"/>
      <c r="G243" s="117"/>
      <c r="H243" s="117"/>
      <c r="I243" s="117"/>
      <c r="J243" s="117"/>
      <c r="K243" s="117"/>
      <c r="L243" s="18"/>
    </row>
    <row r="244" spans="2:16" ht="25.5" customHeight="1" x14ac:dyDescent="0.35">
      <c r="B244" s="285" t="s">
        <v>295</v>
      </c>
      <c r="C244" s="285"/>
      <c r="D244" s="285"/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</row>
    <row r="245" spans="2:16" x14ac:dyDescent="0.35">
      <c r="B245" s="281" t="s">
        <v>359</v>
      </c>
      <c r="C245" s="281"/>
      <c r="D245" s="281"/>
      <c r="E245" s="281"/>
      <c r="F245" s="281"/>
      <c r="G245" s="281"/>
      <c r="H245" s="281"/>
      <c r="I245" s="281"/>
      <c r="J245" s="281"/>
      <c r="K245" s="281"/>
      <c r="L245" s="281"/>
    </row>
    <row r="246" spans="2:16" x14ac:dyDescent="0.35">
      <c r="B246" s="281" t="s">
        <v>355</v>
      </c>
      <c r="C246" s="281"/>
      <c r="D246" s="281"/>
      <c r="E246" s="281"/>
      <c r="F246" s="281"/>
      <c r="G246" s="281"/>
      <c r="H246" s="281"/>
      <c r="I246" s="281"/>
      <c r="J246" s="281"/>
      <c r="K246" s="281"/>
      <c r="L246" s="281"/>
    </row>
    <row r="247" spans="2:16" x14ac:dyDescent="0.35">
      <c r="B247" s="18" t="s">
        <v>358</v>
      </c>
      <c r="C247" s="18"/>
      <c r="D247" s="18"/>
      <c r="E247" s="117"/>
      <c r="F247" s="117"/>
      <c r="G247" s="117"/>
      <c r="H247" s="117"/>
      <c r="I247" s="117"/>
      <c r="J247" s="117"/>
      <c r="K247" s="117"/>
      <c r="L247" s="117"/>
    </row>
  </sheetData>
  <mergeCells count="5">
    <mergeCell ref="B244:P244"/>
    <mergeCell ref="B245:L245"/>
    <mergeCell ref="B246:L246"/>
    <mergeCell ref="B6:C6"/>
    <mergeCell ref="B7:C7"/>
  </mergeCells>
  <hyperlinks>
    <hyperlink ref="C247" r:id="rId1" display="http://www.un.org/en/development/desa/population/migration/data/empirical2/index.shtml"/>
    <hyperlink ref="K4" location="Contenido!A1" display="Contenido"/>
  </hyperlinks>
  <pageMargins left="0.7" right="0.7" top="0.75" bottom="0.75" header="0.3" footer="0.3"/>
  <pageSetup paperSize="9" orientation="portrait" r:id="rId2"/>
  <ignoredErrors>
    <ignoredError sqref="J7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45"/>
  <sheetViews>
    <sheetView showGridLines="0" zoomScaleNormal="100" workbookViewId="0">
      <selection activeCell="J5" sqref="J5"/>
    </sheetView>
  </sheetViews>
  <sheetFormatPr baseColWidth="10" defaultColWidth="10.85546875" defaultRowHeight="15" customHeight="1" x14ac:dyDescent="0.25"/>
  <cols>
    <col min="1" max="1" width="2.85546875" style="198" customWidth="1"/>
    <col min="2" max="2" width="32.42578125" style="198" customWidth="1"/>
    <col min="3" max="3" width="27" style="198" customWidth="1"/>
    <col min="4" max="4" width="12.7109375" style="199" customWidth="1"/>
    <col min="5" max="5" width="25.85546875" style="198" customWidth="1"/>
    <col min="6" max="6" width="16.140625" style="198" customWidth="1"/>
    <col min="7" max="7" width="22.28515625" style="198" customWidth="1"/>
    <col min="8" max="8" width="19.7109375" style="198" customWidth="1"/>
    <col min="9" max="9" width="24" style="198" customWidth="1"/>
    <col min="10" max="10" width="20.140625" style="198" customWidth="1"/>
    <col min="11" max="11" width="13.7109375" style="198" bestFit="1" customWidth="1"/>
    <col min="12" max="16384" width="10.85546875" style="198"/>
  </cols>
  <sheetData>
    <row r="5" spans="2:10" ht="14.25" customHeight="1" x14ac:dyDescent="0.25">
      <c r="B5" s="221" t="s">
        <v>348</v>
      </c>
      <c r="J5" s="303" t="s">
        <v>363</v>
      </c>
    </row>
    <row r="6" spans="2:10" ht="14.25" customHeight="1" x14ac:dyDescent="0.25">
      <c r="B6" s="200"/>
    </row>
    <row r="7" spans="2:10" ht="26.25" customHeight="1" x14ac:dyDescent="0.25">
      <c r="B7" s="288" t="s">
        <v>338</v>
      </c>
      <c r="C7" s="288" t="s">
        <v>316</v>
      </c>
      <c r="D7" s="222" t="s">
        <v>317</v>
      </c>
      <c r="E7" s="223"/>
      <c r="F7" s="288" t="s">
        <v>339</v>
      </c>
      <c r="G7" s="288"/>
      <c r="H7" s="288"/>
      <c r="I7" s="222" t="s">
        <v>318</v>
      </c>
      <c r="J7" s="222" t="s">
        <v>317</v>
      </c>
    </row>
    <row r="8" spans="2:10" ht="14.25" customHeight="1" x14ac:dyDescent="0.25">
      <c r="B8" s="201" t="s">
        <v>319</v>
      </c>
      <c r="C8" s="202">
        <v>32601780</v>
      </c>
      <c r="D8" s="203">
        <f>C8/$C$19*100</f>
        <v>12.001740304582016</v>
      </c>
      <c r="F8" s="289" t="s">
        <v>319</v>
      </c>
      <c r="G8" s="289"/>
      <c r="H8" s="289"/>
      <c r="I8" s="204">
        <v>62899026</v>
      </c>
      <c r="J8" s="205">
        <f>I8/$I$18*100</f>
        <v>23.155109183092215</v>
      </c>
    </row>
    <row r="9" spans="2:10" ht="14.25" customHeight="1" x14ac:dyDescent="0.25">
      <c r="B9" s="201" t="s">
        <v>320</v>
      </c>
      <c r="C9" s="202">
        <v>4508208</v>
      </c>
      <c r="D9" s="203">
        <f t="shared" ref="D9:D18" si="0">C9/$C$19*100</f>
        <v>1.6596131148372599</v>
      </c>
      <c r="F9" s="289" t="s">
        <v>320</v>
      </c>
      <c r="G9" s="289"/>
      <c r="H9" s="289"/>
      <c r="I9" s="204">
        <v>58641142</v>
      </c>
      <c r="J9" s="205">
        <f t="shared" ref="J9:J17" si="1">I9/$I$18*100</f>
        <v>21.587648203506596</v>
      </c>
    </row>
    <row r="10" spans="2:10" ht="14.25" customHeight="1" x14ac:dyDescent="0.25">
      <c r="B10" s="201" t="s">
        <v>321</v>
      </c>
      <c r="C10" s="202">
        <v>42918964</v>
      </c>
      <c r="D10" s="203">
        <f t="shared" si="0"/>
        <v>15.799820134658432</v>
      </c>
      <c r="F10" s="289" t="s">
        <v>321</v>
      </c>
      <c r="G10" s="289"/>
      <c r="H10" s="289"/>
      <c r="I10" s="204">
        <v>31969312</v>
      </c>
      <c r="J10" s="205">
        <f t="shared" si="1"/>
        <v>11.768908947307709</v>
      </c>
    </row>
    <row r="11" spans="2:10" ht="14.25" customHeight="1" x14ac:dyDescent="0.25">
      <c r="B11" s="201" t="s">
        <v>322</v>
      </c>
      <c r="C11" s="202">
        <v>1393836</v>
      </c>
      <c r="D11" s="203">
        <f t="shared" si="0"/>
        <v>0.51311485750708641</v>
      </c>
      <c r="F11" s="289" t="s">
        <v>322</v>
      </c>
      <c r="G11" s="289"/>
      <c r="H11" s="289"/>
      <c r="I11" s="204">
        <v>32042809</v>
      </c>
      <c r="J11" s="205">
        <f t="shared" si="1"/>
        <v>11.795965503948661</v>
      </c>
    </row>
    <row r="12" spans="2:10" ht="14.25" customHeight="1" x14ac:dyDescent="0.25">
      <c r="B12" s="201" t="s">
        <v>323</v>
      </c>
      <c r="C12" s="202">
        <v>30223130</v>
      </c>
      <c r="D12" s="203">
        <f t="shared" si="0"/>
        <v>11.126084448506242</v>
      </c>
      <c r="F12" s="289" t="s">
        <v>323</v>
      </c>
      <c r="G12" s="289"/>
      <c r="H12" s="289"/>
      <c r="I12" s="204">
        <v>24477007</v>
      </c>
      <c r="J12" s="205">
        <f t="shared" si="1"/>
        <v>9.0107558988324001</v>
      </c>
    </row>
    <row r="13" spans="2:10" ht="14.25" customHeight="1" x14ac:dyDescent="0.25">
      <c r="B13" s="201" t="s">
        <v>324</v>
      </c>
      <c r="C13" s="202">
        <v>6044697</v>
      </c>
      <c r="D13" s="203">
        <f t="shared" si="0"/>
        <v>2.2252430270336774</v>
      </c>
      <c r="F13" s="289" t="s">
        <v>324</v>
      </c>
      <c r="G13" s="289"/>
      <c r="H13" s="289"/>
      <c r="I13" s="204">
        <v>18099144</v>
      </c>
      <c r="J13" s="205">
        <f t="shared" si="1"/>
        <v>6.6628639915745023</v>
      </c>
    </row>
    <row r="14" spans="2:10" ht="14.25" customHeight="1" x14ac:dyDescent="0.25">
      <c r="B14" s="201" t="s">
        <v>325</v>
      </c>
      <c r="C14" s="202">
        <v>28184309</v>
      </c>
      <c r="D14" s="203">
        <f t="shared" si="0"/>
        <v>10.375530332457112</v>
      </c>
      <c r="F14" s="289" t="s">
        <v>325</v>
      </c>
      <c r="G14" s="289"/>
      <c r="H14" s="289"/>
      <c r="I14" s="204">
        <v>11616161</v>
      </c>
      <c r="J14" s="205">
        <f t="shared" si="1"/>
        <v>4.2762741070645145</v>
      </c>
    </row>
    <row r="15" spans="2:10" ht="14.25" customHeight="1" x14ac:dyDescent="0.25">
      <c r="B15" s="201" t="s">
        <v>326</v>
      </c>
      <c r="C15" s="202">
        <v>40885149</v>
      </c>
      <c r="D15" s="203">
        <f t="shared" si="0"/>
        <v>15.051108884611242</v>
      </c>
      <c r="F15" s="289" t="s">
        <v>326</v>
      </c>
      <c r="G15" s="289"/>
      <c r="H15" s="289"/>
      <c r="I15" s="204">
        <v>11403315</v>
      </c>
      <c r="J15" s="205">
        <f t="shared" si="1"/>
        <v>4.1979188020207694</v>
      </c>
    </row>
    <row r="16" spans="2:10" ht="14.25" customHeight="1" x14ac:dyDescent="0.25">
      <c r="B16" s="201" t="s">
        <v>327</v>
      </c>
      <c r="C16" s="202">
        <v>40393178</v>
      </c>
      <c r="D16" s="203">
        <f t="shared" si="0"/>
        <v>14.869998890635896</v>
      </c>
      <c r="F16" s="289" t="s">
        <v>327</v>
      </c>
      <c r="G16" s="289"/>
      <c r="H16" s="289"/>
      <c r="I16" s="204">
        <v>11369799</v>
      </c>
      <c r="J16" s="205">
        <f t="shared" si="1"/>
        <v>4.1855805085886812</v>
      </c>
    </row>
    <row r="17" spans="2:12" ht="14.25" customHeight="1" x14ac:dyDescent="0.25">
      <c r="B17" s="201" t="s">
        <v>328</v>
      </c>
      <c r="C17" s="206">
        <v>33130509</v>
      </c>
      <c r="D17" s="203">
        <f t="shared" si="0"/>
        <v>12.196382074126543</v>
      </c>
      <c r="F17" s="289" t="s">
        <v>328</v>
      </c>
      <c r="G17" s="289"/>
      <c r="H17" s="289"/>
      <c r="I17" s="204">
        <v>9124390</v>
      </c>
      <c r="J17" s="205">
        <f t="shared" si="1"/>
        <v>3.3589748540639528</v>
      </c>
    </row>
    <row r="18" spans="2:12" ht="14.25" customHeight="1" x14ac:dyDescent="0.25">
      <c r="B18" s="207" t="s">
        <v>329</v>
      </c>
      <c r="C18" s="206">
        <v>11358345</v>
      </c>
      <c r="D18" s="203">
        <f t="shared" si="0"/>
        <v>4.1813639310444897</v>
      </c>
      <c r="F18" s="222" t="s">
        <v>2</v>
      </c>
      <c r="G18" s="222"/>
      <c r="H18" s="222"/>
      <c r="I18" s="265">
        <v>271642105</v>
      </c>
      <c r="J18" s="222">
        <f>SUM(J8:J17)</f>
        <v>100</v>
      </c>
    </row>
    <row r="19" spans="2:12" ht="17.25" customHeight="1" x14ac:dyDescent="0.25">
      <c r="B19" s="222" t="s">
        <v>2</v>
      </c>
      <c r="C19" s="265">
        <v>271642105</v>
      </c>
      <c r="D19" s="222">
        <f>SUM(D8:D18)</f>
        <v>100</v>
      </c>
      <c r="E19" s="208"/>
      <c r="F19" s="209"/>
      <c r="G19" s="210"/>
      <c r="H19" s="211"/>
      <c r="I19" s="210"/>
      <c r="J19" s="208"/>
    </row>
    <row r="20" spans="2:12" ht="14.25" customHeight="1" x14ac:dyDescent="0.25">
      <c r="B20" s="212"/>
      <c r="C20" s="213"/>
      <c r="D20" s="214"/>
      <c r="I20" s="208"/>
      <c r="J20" s="208"/>
    </row>
    <row r="21" spans="2:12" ht="16.5" x14ac:dyDescent="0.25">
      <c r="B21" s="221" t="s">
        <v>337</v>
      </c>
      <c r="I21" s="208"/>
      <c r="J21" s="208"/>
    </row>
    <row r="22" spans="2:12" ht="14.25" customHeight="1" x14ac:dyDescent="0.25">
      <c r="I22" s="208"/>
      <c r="J22" s="208"/>
    </row>
    <row r="23" spans="2:12" ht="14.25" customHeight="1" x14ac:dyDescent="0.25">
      <c r="B23" s="222" t="s">
        <v>335</v>
      </c>
      <c r="C23" s="287" t="s">
        <v>336</v>
      </c>
      <c r="D23" s="287"/>
      <c r="E23" s="287"/>
      <c r="F23" s="287"/>
      <c r="G23" s="287"/>
      <c r="H23" s="287"/>
      <c r="I23" s="287"/>
      <c r="J23" s="287"/>
      <c r="K23" s="287"/>
    </row>
    <row r="24" spans="2:12" ht="24.75" customHeight="1" x14ac:dyDescent="0.25">
      <c r="B24" s="222"/>
      <c r="C24" s="222" t="s">
        <v>330</v>
      </c>
      <c r="D24" s="222" t="s">
        <v>326</v>
      </c>
      <c r="E24" s="222" t="s">
        <v>321</v>
      </c>
      <c r="F24" s="222" t="s">
        <v>320</v>
      </c>
      <c r="G24" s="222" t="s">
        <v>331</v>
      </c>
      <c r="H24" s="222" t="s">
        <v>323</v>
      </c>
      <c r="I24" s="222" t="s">
        <v>327</v>
      </c>
      <c r="J24" s="222" t="s">
        <v>319</v>
      </c>
      <c r="K24" s="222" t="s">
        <v>2</v>
      </c>
    </row>
    <row r="25" spans="2:12" ht="14.25" customHeight="1" x14ac:dyDescent="0.25">
      <c r="B25" s="201" t="s">
        <v>326</v>
      </c>
      <c r="C25" s="202">
        <v>20558166</v>
      </c>
      <c r="D25" s="202">
        <v>8834522</v>
      </c>
      <c r="E25" s="202">
        <v>60288</v>
      </c>
      <c r="F25" s="215">
        <v>4421505</v>
      </c>
      <c r="G25" s="202">
        <v>2952585</v>
      </c>
      <c r="H25" s="202">
        <v>133462</v>
      </c>
      <c r="I25" s="202">
        <v>22473</v>
      </c>
      <c r="J25" s="202">
        <v>3902148</v>
      </c>
      <c r="K25" s="202">
        <f>SUM(C25:J25)</f>
        <v>40885149</v>
      </c>
      <c r="L25" s="216"/>
    </row>
    <row r="26" spans="2:12" ht="14.25" customHeight="1" x14ac:dyDescent="0.25">
      <c r="B26" s="201" t="s">
        <v>321</v>
      </c>
      <c r="C26" s="202">
        <v>622343</v>
      </c>
      <c r="D26" s="202">
        <v>9002</v>
      </c>
      <c r="E26" s="202">
        <v>24084669</v>
      </c>
      <c r="F26" s="215">
        <v>2609584</v>
      </c>
      <c r="G26" s="202">
        <v>327586</v>
      </c>
      <c r="H26" s="202">
        <v>44464</v>
      </c>
      <c r="I26" s="202">
        <v>71860</v>
      </c>
      <c r="J26" s="202">
        <v>15149456</v>
      </c>
      <c r="K26" s="202">
        <f t="shared" ref="K26:K33" si="2">SUM(C26:J26)</f>
        <v>42918964</v>
      </c>
      <c r="L26" s="216"/>
    </row>
    <row r="27" spans="2:12" ht="14.25" customHeight="1" x14ac:dyDescent="0.25">
      <c r="B27" s="201" t="s">
        <v>330</v>
      </c>
      <c r="C27" s="202">
        <v>13693136</v>
      </c>
      <c r="D27" s="202">
        <v>64625</v>
      </c>
      <c r="E27" s="202">
        <v>4188624</v>
      </c>
      <c r="F27" s="215">
        <v>2640970</v>
      </c>
      <c r="G27" s="202">
        <v>501103</v>
      </c>
      <c r="H27" s="202">
        <v>140002</v>
      </c>
      <c r="I27" s="202">
        <v>86011</v>
      </c>
      <c r="J27" s="202">
        <v>8263674</v>
      </c>
      <c r="K27" s="202">
        <f t="shared" si="2"/>
        <v>29578145</v>
      </c>
      <c r="L27" s="216"/>
    </row>
    <row r="28" spans="2:12" ht="14.25" customHeight="1" x14ac:dyDescent="0.25">
      <c r="B28" s="201" t="s">
        <v>331</v>
      </c>
      <c r="C28" s="202">
        <v>4266552</v>
      </c>
      <c r="D28" s="202">
        <v>1869508</v>
      </c>
      <c r="E28" s="202">
        <v>261751</v>
      </c>
      <c r="F28" s="215">
        <v>10756414</v>
      </c>
      <c r="G28" s="202">
        <v>17749227</v>
      </c>
      <c r="H28" s="202">
        <v>114048</v>
      </c>
      <c r="I28" s="202">
        <v>300921</v>
      </c>
      <c r="J28" s="202">
        <v>3856785</v>
      </c>
      <c r="K28" s="202">
        <f t="shared" si="2"/>
        <v>39175206</v>
      </c>
      <c r="L28" s="216"/>
    </row>
    <row r="29" spans="2:12" ht="14.25" customHeight="1" x14ac:dyDescent="0.25">
      <c r="B29" s="201" t="s">
        <v>323</v>
      </c>
      <c r="C29" s="202">
        <v>1806724</v>
      </c>
      <c r="D29" s="202">
        <v>4916</v>
      </c>
      <c r="E29" s="202">
        <v>103418</v>
      </c>
      <c r="F29" s="215">
        <v>2429032</v>
      </c>
      <c r="G29" s="202">
        <v>513357</v>
      </c>
      <c r="H29" s="202">
        <v>20361635</v>
      </c>
      <c r="I29" s="202">
        <v>27036</v>
      </c>
      <c r="J29" s="202">
        <v>4977012</v>
      </c>
      <c r="K29" s="202">
        <f t="shared" si="2"/>
        <v>30223130</v>
      </c>
      <c r="L29" s="216"/>
    </row>
    <row r="30" spans="2:12" ht="14.25" customHeight="1" x14ac:dyDescent="0.25">
      <c r="B30" s="201" t="s">
        <v>327</v>
      </c>
      <c r="C30" s="202">
        <v>66713</v>
      </c>
      <c r="D30" s="202">
        <v>15422</v>
      </c>
      <c r="E30" s="202">
        <v>132830</v>
      </c>
      <c r="F30" s="215">
        <v>26565673</v>
      </c>
      <c r="G30" s="202">
        <v>544067</v>
      </c>
      <c r="H30" s="202">
        <v>34723</v>
      </c>
      <c r="I30" s="202">
        <v>8082637</v>
      </c>
      <c r="J30" s="202">
        <v>4951113</v>
      </c>
      <c r="K30" s="202">
        <f t="shared" si="2"/>
        <v>40393178</v>
      </c>
      <c r="L30" s="216"/>
    </row>
    <row r="31" spans="2:12" ht="14.25" customHeight="1" x14ac:dyDescent="0.25">
      <c r="B31" s="201" t="s">
        <v>320</v>
      </c>
      <c r="C31" s="202">
        <v>152626</v>
      </c>
      <c r="D31" s="202">
        <v>52116</v>
      </c>
      <c r="E31" s="202">
        <v>46317</v>
      </c>
      <c r="F31" s="215">
        <v>1372321</v>
      </c>
      <c r="G31" s="202">
        <v>547489</v>
      </c>
      <c r="H31" s="202">
        <v>42923</v>
      </c>
      <c r="I31" s="202">
        <v>1239400</v>
      </c>
      <c r="J31" s="202">
        <v>1055016</v>
      </c>
      <c r="K31" s="202">
        <f t="shared" si="2"/>
        <v>4508208</v>
      </c>
      <c r="L31" s="216"/>
    </row>
    <row r="32" spans="2:12" ht="17.25" customHeight="1" x14ac:dyDescent="0.25">
      <c r="B32" s="201" t="s">
        <v>332</v>
      </c>
      <c r="C32" s="202">
        <v>459025</v>
      </c>
      <c r="D32" s="202">
        <v>66946</v>
      </c>
      <c r="E32" s="202">
        <v>2086516</v>
      </c>
      <c r="F32" s="215">
        <v>5245012</v>
      </c>
      <c r="G32" s="202">
        <v>2847024</v>
      </c>
      <c r="H32" s="202">
        <v>631239</v>
      </c>
      <c r="I32" s="202">
        <v>1242432</v>
      </c>
      <c r="J32" s="202">
        <v>20023586</v>
      </c>
      <c r="K32" s="202">
        <f t="shared" si="2"/>
        <v>32601780</v>
      </c>
      <c r="L32" s="216"/>
    </row>
    <row r="33" spans="2:12" ht="17.25" customHeight="1" x14ac:dyDescent="0.25">
      <c r="B33" s="201" t="s">
        <v>333</v>
      </c>
      <c r="C33" s="202">
        <v>2033685</v>
      </c>
      <c r="D33" s="202">
        <v>486258</v>
      </c>
      <c r="E33" s="202">
        <v>1004899</v>
      </c>
      <c r="F33" s="215">
        <v>2600631</v>
      </c>
      <c r="G33" s="202">
        <v>1241096</v>
      </c>
      <c r="H33" s="202">
        <v>2974511</v>
      </c>
      <c r="I33" s="202">
        <v>297029</v>
      </c>
      <c r="J33" s="202">
        <v>720236</v>
      </c>
      <c r="K33" s="202">
        <f t="shared" si="2"/>
        <v>11358345</v>
      </c>
      <c r="L33" s="216"/>
    </row>
    <row r="34" spans="2:12" s="208" customFormat="1" ht="17.25" customHeight="1" x14ac:dyDescent="0.25">
      <c r="B34" s="222" t="s">
        <v>2</v>
      </c>
      <c r="C34" s="265">
        <f>SUM(C25:C33)</f>
        <v>43658970</v>
      </c>
      <c r="D34" s="265">
        <f t="shared" ref="D34:J34" si="3">SUM(D25:D33)</f>
        <v>11403315</v>
      </c>
      <c r="E34" s="265">
        <f t="shared" si="3"/>
        <v>31969312</v>
      </c>
      <c r="F34" s="265">
        <f t="shared" si="3"/>
        <v>58641142</v>
      </c>
      <c r="G34" s="265">
        <f t="shared" si="3"/>
        <v>27223534</v>
      </c>
      <c r="H34" s="265">
        <f t="shared" si="3"/>
        <v>24477007</v>
      </c>
      <c r="I34" s="265">
        <f t="shared" si="3"/>
        <v>11369799</v>
      </c>
      <c r="J34" s="265">
        <f t="shared" si="3"/>
        <v>62899026</v>
      </c>
      <c r="K34" s="265">
        <f>SUM(K25:K33)</f>
        <v>271642105</v>
      </c>
    </row>
    <row r="35" spans="2:12" s="208" customFormat="1" ht="11.25" customHeight="1" x14ac:dyDescent="0.25">
      <c r="B35" s="209"/>
      <c r="C35" s="217"/>
      <c r="D35" s="218"/>
      <c r="E35" s="219"/>
      <c r="F35" s="219"/>
      <c r="G35" s="219"/>
      <c r="H35" s="219"/>
      <c r="I35" s="219"/>
      <c r="J35" s="219"/>
      <c r="K35" s="219"/>
    </row>
    <row r="36" spans="2:12" ht="15" customHeight="1" x14ac:dyDescent="0.25">
      <c r="B36" s="298" t="s">
        <v>361</v>
      </c>
      <c r="C36" s="298"/>
      <c r="D36" s="299"/>
      <c r="E36" s="298"/>
    </row>
    <row r="37" spans="2:12" ht="15" customHeight="1" x14ac:dyDescent="0.25">
      <c r="B37" s="298" t="s">
        <v>334</v>
      </c>
      <c r="C37" s="298"/>
      <c r="D37" s="299"/>
      <c r="E37" s="298"/>
    </row>
    <row r="38" spans="2:12" ht="15" customHeight="1" x14ac:dyDescent="0.25">
      <c r="B38" s="298" t="s">
        <v>355</v>
      </c>
      <c r="C38" s="298"/>
      <c r="D38" s="299"/>
      <c r="E38" s="298"/>
    </row>
    <row r="39" spans="2:12" ht="15" customHeight="1" x14ac:dyDescent="0.25">
      <c r="B39" s="298" t="s">
        <v>360</v>
      </c>
      <c r="C39" s="298"/>
      <c r="D39" s="299"/>
      <c r="E39" s="298"/>
    </row>
    <row r="40" spans="2:12" ht="15" customHeight="1" x14ac:dyDescent="0.25">
      <c r="B40" s="281" t="s">
        <v>355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</row>
    <row r="41" spans="2:12" ht="15" customHeight="1" x14ac:dyDescent="0.25">
      <c r="B41" s="18" t="s">
        <v>358</v>
      </c>
      <c r="C41" s="18"/>
      <c r="D41" s="18"/>
      <c r="E41" s="117"/>
      <c r="F41" s="117"/>
      <c r="G41" s="117"/>
      <c r="H41" s="117"/>
      <c r="I41" s="117"/>
      <c r="J41" s="117"/>
      <c r="K41" s="117"/>
      <c r="L41" s="117"/>
    </row>
    <row r="45" spans="2:12" ht="15" customHeight="1" x14ac:dyDescent="0.25">
      <c r="B45" s="220"/>
    </row>
  </sheetData>
  <mergeCells count="14">
    <mergeCell ref="B40:L40"/>
    <mergeCell ref="C23:K23"/>
    <mergeCell ref="B7:C7"/>
    <mergeCell ref="F13:H13"/>
    <mergeCell ref="F14:H14"/>
    <mergeCell ref="F15:H15"/>
    <mergeCell ref="F16:H16"/>
    <mergeCell ref="F17:H17"/>
    <mergeCell ref="F7:H7"/>
    <mergeCell ref="F8:H8"/>
    <mergeCell ref="F9:H9"/>
    <mergeCell ref="F10:H10"/>
    <mergeCell ref="F11:H11"/>
    <mergeCell ref="F12:H12"/>
  </mergeCells>
  <hyperlinks>
    <hyperlink ref="C41" r:id="rId1" display="http://www.un.org/en/development/desa/population/migration/data/empirical2/index.shtml"/>
    <hyperlink ref="J5" location="Contenido!A1" display="Contenido"/>
  </hyperlinks>
  <pageMargins left="0.7" right="0.7" top="0.75" bottom="0.75" header="0.3" footer="0.3"/>
  <pageSetup paperSize="119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showGridLines="0" zoomScaleNormal="100" workbookViewId="0">
      <selection activeCell="G4" sqref="G4"/>
    </sheetView>
  </sheetViews>
  <sheetFormatPr baseColWidth="10" defaultColWidth="11.42578125" defaultRowHeight="12.75" x14ac:dyDescent="0.25"/>
  <cols>
    <col min="1" max="1" width="2.85546875" style="18" customWidth="1"/>
    <col min="2" max="2" width="9.85546875" style="18" bestFit="1" customWidth="1"/>
    <col min="3" max="3" width="32.42578125" style="18" customWidth="1"/>
    <col min="4" max="4" width="32.28515625" style="18" customWidth="1"/>
    <col min="5" max="5" width="33.140625" style="161" customWidth="1"/>
    <col min="6" max="6" width="37" style="18" customWidth="1"/>
    <col min="7" max="7" width="33" style="197" customWidth="1"/>
    <col min="8" max="8" width="11.42578125" style="18"/>
    <col min="9" max="9" width="17.42578125" style="18" customWidth="1"/>
    <col min="10" max="10" width="17.7109375" style="18" customWidth="1"/>
    <col min="11" max="16384" width="11.42578125" style="18"/>
  </cols>
  <sheetData>
    <row r="1" spans="2:11" s="1" customFormat="1" ht="15" customHeight="1" x14ac:dyDescent="0.35">
      <c r="B1" s="120"/>
      <c r="C1" s="30"/>
      <c r="D1" s="82"/>
      <c r="E1" s="82"/>
      <c r="F1" s="82"/>
      <c r="G1" s="189"/>
    </row>
    <row r="2" spans="2:11" s="1" customFormat="1" ht="15" customHeight="1" x14ac:dyDescent="0.35">
      <c r="B2" s="120"/>
      <c r="C2" s="30"/>
      <c r="D2" s="82"/>
      <c r="E2" s="82"/>
      <c r="F2" s="82"/>
      <c r="G2" s="189"/>
    </row>
    <row r="3" spans="2:11" s="1" customFormat="1" ht="19.5" customHeight="1" x14ac:dyDescent="0.35">
      <c r="B3" s="120"/>
      <c r="C3" s="30"/>
      <c r="D3" s="82"/>
      <c r="E3" s="82"/>
      <c r="F3" s="82"/>
      <c r="G3" s="303"/>
    </row>
    <row r="4" spans="2:11" s="1" customFormat="1" ht="18" x14ac:dyDescent="0.35">
      <c r="B4" s="234" t="s">
        <v>340</v>
      </c>
      <c r="C4" s="305"/>
      <c r="D4" s="305"/>
      <c r="E4" s="305"/>
      <c r="F4" s="305"/>
      <c r="G4" s="303" t="s">
        <v>363</v>
      </c>
      <c r="H4" s="305"/>
    </row>
    <row r="5" spans="2:11" s="1" customFormat="1" ht="13.5" customHeight="1" x14ac:dyDescent="0.35">
      <c r="B5" s="120"/>
      <c r="C5" s="30"/>
      <c r="D5" s="65"/>
      <c r="E5" s="65"/>
      <c r="F5" s="65"/>
      <c r="G5" s="189"/>
    </row>
    <row r="6" spans="2:11" s="31" customFormat="1" ht="31.5" x14ac:dyDescent="0.35">
      <c r="B6" s="73" t="s">
        <v>300</v>
      </c>
      <c r="C6" s="73" t="s">
        <v>301</v>
      </c>
      <c r="D6" s="94" t="s">
        <v>302</v>
      </c>
      <c r="E6" s="95" t="s">
        <v>303</v>
      </c>
      <c r="F6" s="74" t="s">
        <v>304</v>
      </c>
      <c r="G6" s="190" t="s">
        <v>309</v>
      </c>
    </row>
    <row r="7" spans="2:11" s="31" customFormat="1" ht="18.75" x14ac:dyDescent="0.35">
      <c r="B7" s="291" t="s">
        <v>2</v>
      </c>
      <c r="C7" s="291"/>
      <c r="D7" s="291"/>
      <c r="E7" s="157">
        <f>SUM(E8:E52)</f>
        <v>271642.10499999806</v>
      </c>
      <c r="F7" s="158">
        <f>SUM(F8:F52)</f>
        <v>100.00000000000003</v>
      </c>
      <c r="G7" s="191" t="s">
        <v>290</v>
      </c>
    </row>
    <row r="8" spans="2:11" s="32" customFormat="1" ht="18.75" x14ac:dyDescent="0.35">
      <c r="B8" s="150">
        <v>1</v>
      </c>
      <c r="C8" s="154" t="s">
        <v>33</v>
      </c>
      <c r="D8" s="154" t="s">
        <v>51</v>
      </c>
      <c r="E8" s="155">
        <v>11489.683999999999</v>
      </c>
      <c r="F8" s="58">
        <f>(E8/$E$7)*100</f>
        <v>4.2297139465916311</v>
      </c>
      <c r="G8" s="192" t="s">
        <v>306</v>
      </c>
    </row>
    <row r="9" spans="2:11" s="32" customFormat="1" ht="18.75" x14ac:dyDescent="0.35">
      <c r="B9" s="150">
        <v>2</v>
      </c>
      <c r="C9" s="36" t="s">
        <v>280</v>
      </c>
      <c r="D9" s="36" t="s">
        <v>37</v>
      </c>
      <c r="E9" s="55">
        <v>3743.4940000000001</v>
      </c>
      <c r="F9" s="56">
        <f t="shared" ref="F9:F52" si="0">(E9/$E$7)*100</f>
        <v>1.378097846797361</v>
      </c>
      <c r="G9" s="193" t="s">
        <v>307</v>
      </c>
    </row>
    <row r="10" spans="2:11" s="32" customFormat="1" ht="18.75" x14ac:dyDescent="0.35">
      <c r="B10" s="150">
        <v>3</v>
      </c>
      <c r="C10" s="20" t="s">
        <v>26</v>
      </c>
      <c r="D10" s="20" t="s">
        <v>35</v>
      </c>
      <c r="E10" s="55">
        <v>3419.875</v>
      </c>
      <c r="F10" s="56">
        <f t="shared" si="0"/>
        <v>1.2589635174561855</v>
      </c>
      <c r="G10" s="193" t="s">
        <v>306</v>
      </c>
    </row>
    <row r="11" spans="2:11" s="32" customFormat="1" ht="18.75" x14ac:dyDescent="0.35">
      <c r="B11" s="150">
        <v>4</v>
      </c>
      <c r="C11" s="20" t="s">
        <v>20</v>
      </c>
      <c r="D11" s="20" t="s">
        <v>27</v>
      </c>
      <c r="E11" s="55">
        <v>3308.5149999999999</v>
      </c>
      <c r="F11" s="56">
        <f t="shared" si="0"/>
        <v>1.2179684000019155</v>
      </c>
      <c r="G11" s="193" t="s">
        <v>307</v>
      </c>
      <c r="J11" s="33"/>
      <c r="K11" s="34"/>
    </row>
    <row r="12" spans="2:11" s="32" customFormat="1" ht="18.75" x14ac:dyDescent="0.35">
      <c r="B12" s="150">
        <v>5</v>
      </c>
      <c r="C12" s="20" t="s">
        <v>27</v>
      </c>
      <c r="D12" s="20" t="s">
        <v>20</v>
      </c>
      <c r="E12" s="55">
        <v>3269.248</v>
      </c>
      <c r="F12" s="56">
        <f t="shared" si="0"/>
        <v>1.2035129826431079</v>
      </c>
      <c r="G12" s="193" t="s">
        <v>307</v>
      </c>
      <c r="J12" s="33"/>
      <c r="K12" s="34"/>
    </row>
    <row r="13" spans="2:11" s="32" customFormat="1" ht="18.75" x14ac:dyDescent="0.35">
      <c r="B13" s="150">
        <v>6</v>
      </c>
      <c r="C13" s="20" t="s">
        <v>34</v>
      </c>
      <c r="D13" s="20" t="s">
        <v>26</v>
      </c>
      <c r="E13" s="55">
        <v>3103.6640000000002</v>
      </c>
      <c r="F13" s="56">
        <f t="shared" si="0"/>
        <v>1.1425563058422119</v>
      </c>
      <c r="G13" s="193" t="s">
        <v>307</v>
      </c>
      <c r="J13" s="33"/>
      <c r="K13" s="34"/>
    </row>
    <row r="14" spans="2:11" s="32" customFormat="1" ht="18.75" x14ac:dyDescent="0.35">
      <c r="B14" s="150">
        <v>7</v>
      </c>
      <c r="C14" s="20" t="s">
        <v>43</v>
      </c>
      <c r="D14" s="20" t="s">
        <v>51</v>
      </c>
      <c r="E14" s="55">
        <v>2899.2669999999998</v>
      </c>
      <c r="F14" s="56">
        <f t="shared" si="0"/>
        <v>1.0673113433574741</v>
      </c>
      <c r="G14" s="193" t="s">
        <v>306</v>
      </c>
      <c r="J14" s="33"/>
      <c r="K14" s="34"/>
    </row>
    <row r="15" spans="2:11" s="32" customFormat="1" ht="18.75" x14ac:dyDescent="0.35">
      <c r="B15" s="150">
        <v>8</v>
      </c>
      <c r="C15" s="20" t="s">
        <v>26</v>
      </c>
      <c r="D15" s="20" t="s">
        <v>51</v>
      </c>
      <c r="E15" s="55">
        <v>2661.47</v>
      </c>
      <c r="F15" s="56">
        <f t="shared" si="0"/>
        <v>0.979770790687997</v>
      </c>
      <c r="G15" s="193" t="s">
        <v>306</v>
      </c>
      <c r="J15" s="33"/>
      <c r="K15" s="34"/>
    </row>
    <row r="16" spans="2:11" s="32" customFormat="1" ht="18.75" x14ac:dyDescent="0.35">
      <c r="B16" s="150">
        <v>9</v>
      </c>
      <c r="C16" s="20" t="s">
        <v>44</v>
      </c>
      <c r="D16" s="20" t="s">
        <v>20</v>
      </c>
      <c r="E16" s="55">
        <v>2559.7109999999998</v>
      </c>
      <c r="F16" s="56">
        <f t="shared" si="0"/>
        <v>0.9423101032146759</v>
      </c>
      <c r="G16" s="193" t="s">
        <v>307</v>
      </c>
      <c r="J16" s="33"/>
      <c r="K16" s="34"/>
    </row>
    <row r="17" spans="2:11" s="32" customFormat="1" ht="18.75" x14ac:dyDescent="0.35">
      <c r="B17" s="150">
        <v>10</v>
      </c>
      <c r="C17" s="20" t="s">
        <v>20</v>
      </c>
      <c r="D17" s="20" t="s">
        <v>44</v>
      </c>
      <c r="E17" s="55">
        <v>2458.4140000000002</v>
      </c>
      <c r="F17" s="56">
        <f t="shared" si="0"/>
        <v>0.90501949246786229</v>
      </c>
      <c r="G17" s="193" t="s">
        <v>307</v>
      </c>
      <c r="J17" s="33"/>
      <c r="K17" s="34"/>
    </row>
    <row r="18" spans="2:11" s="32" customFormat="1" ht="18.75" x14ac:dyDescent="0.35">
      <c r="B18" s="150">
        <v>11</v>
      </c>
      <c r="C18" s="20" t="s">
        <v>26</v>
      </c>
      <c r="D18" s="20" t="s">
        <v>22</v>
      </c>
      <c r="E18" s="55">
        <v>2440.489</v>
      </c>
      <c r="F18" s="56">
        <f t="shared" si="0"/>
        <v>0.89842073635823771</v>
      </c>
      <c r="G18" s="193" t="s">
        <v>306</v>
      </c>
      <c r="J18" s="33"/>
      <c r="K18" s="34"/>
    </row>
    <row r="19" spans="2:11" s="32" customFormat="1" ht="18.75" x14ac:dyDescent="0.35">
      <c r="B19" s="150">
        <v>12</v>
      </c>
      <c r="C19" s="20" t="s">
        <v>32</v>
      </c>
      <c r="D19" s="20" t="s">
        <v>289</v>
      </c>
      <c r="E19" s="55">
        <v>2310.2919999999999</v>
      </c>
      <c r="F19" s="56">
        <f t="shared" si="0"/>
        <v>0.85049112691864048</v>
      </c>
      <c r="G19" s="193" t="s">
        <v>307</v>
      </c>
      <c r="J19" s="33"/>
      <c r="K19" s="34"/>
    </row>
    <row r="20" spans="2:11" s="32" customFormat="1" ht="18.75" x14ac:dyDescent="0.35">
      <c r="B20" s="150">
        <v>13</v>
      </c>
      <c r="C20" s="20" t="s">
        <v>43</v>
      </c>
      <c r="D20" s="20" t="s">
        <v>94</v>
      </c>
      <c r="E20" s="55">
        <v>2272.2930000000001</v>
      </c>
      <c r="F20" s="56">
        <f t="shared" si="0"/>
        <v>0.83650250022912176</v>
      </c>
      <c r="G20" s="193" t="s">
        <v>306</v>
      </c>
      <c r="J20" s="33"/>
      <c r="K20" s="34"/>
    </row>
    <row r="21" spans="2:11" s="32" customFormat="1" ht="18.75" x14ac:dyDescent="0.35">
      <c r="B21" s="150">
        <v>14</v>
      </c>
      <c r="C21" s="20" t="s">
        <v>314</v>
      </c>
      <c r="D21" s="20" t="s">
        <v>288</v>
      </c>
      <c r="E21" s="55">
        <v>2118.2669999999998</v>
      </c>
      <c r="F21" s="56">
        <f t="shared" si="0"/>
        <v>0.77980068664245372</v>
      </c>
      <c r="G21" s="193" t="s">
        <v>307</v>
      </c>
      <c r="J21" s="33"/>
      <c r="K21" s="34"/>
    </row>
    <row r="22" spans="2:11" s="32" customFormat="1" ht="18.75" x14ac:dyDescent="0.35">
      <c r="B22" s="150">
        <v>15</v>
      </c>
      <c r="C22" s="20" t="s">
        <v>36</v>
      </c>
      <c r="D22" s="20" t="s">
        <v>51</v>
      </c>
      <c r="E22" s="55">
        <v>2047.269</v>
      </c>
      <c r="F22" s="56">
        <f t="shared" si="0"/>
        <v>0.75366409047670091</v>
      </c>
      <c r="G22" s="193" t="s">
        <v>306</v>
      </c>
      <c r="J22" s="33"/>
      <c r="K22" s="34"/>
    </row>
    <row r="23" spans="2:11" s="32" customFormat="1" ht="18.75" x14ac:dyDescent="0.35">
      <c r="B23" s="150">
        <v>16</v>
      </c>
      <c r="C23" s="20" t="s">
        <v>57</v>
      </c>
      <c r="D23" s="20" t="s">
        <v>40</v>
      </c>
      <c r="E23" s="55">
        <v>1858.7349999999999</v>
      </c>
      <c r="F23" s="56">
        <f t="shared" si="0"/>
        <v>0.68425879706682924</v>
      </c>
      <c r="G23" s="193" t="s">
        <v>307</v>
      </c>
      <c r="J23" s="33"/>
      <c r="K23" s="34"/>
    </row>
    <row r="24" spans="2:11" s="32" customFormat="1" ht="18.75" x14ac:dyDescent="0.35">
      <c r="B24" s="150">
        <v>17</v>
      </c>
      <c r="C24" s="20" t="s">
        <v>58</v>
      </c>
      <c r="D24" s="20" t="s">
        <v>51</v>
      </c>
      <c r="E24" s="55">
        <v>1830.2750000000001</v>
      </c>
      <c r="F24" s="56">
        <f t="shared" si="0"/>
        <v>0.67378177620881463</v>
      </c>
      <c r="G24" s="193" t="s">
        <v>308</v>
      </c>
      <c r="J24" s="33"/>
      <c r="K24" s="34"/>
    </row>
    <row r="25" spans="2:11" s="32" customFormat="1" ht="18.75" x14ac:dyDescent="0.35">
      <c r="B25" s="150">
        <v>18</v>
      </c>
      <c r="C25" s="20" t="s">
        <v>38</v>
      </c>
      <c r="D25" s="20" t="s">
        <v>21</v>
      </c>
      <c r="E25" s="55">
        <v>1784.8389999999999</v>
      </c>
      <c r="F25" s="56">
        <f t="shared" si="0"/>
        <v>0.65705535598025666</v>
      </c>
      <c r="G25" s="193" t="s">
        <v>308</v>
      </c>
      <c r="J25" s="33"/>
      <c r="K25" s="34"/>
    </row>
    <row r="26" spans="2:11" s="32" customFormat="1" ht="18.75" x14ac:dyDescent="0.35">
      <c r="B26" s="150">
        <v>19</v>
      </c>
      <c r="C26" s="20" t="s">
        <v>42</v>
      </c>
      <c r="D26" s="20" t="s">
        <v>22</v>
      </c>
      <c r="E26" s="55">
        <v>1667.077</v>
      </c>
      <c r="F26" s="56">
        <f t="shared" si="0"/>
        <v>0.61370346103009754</v>
      </c>
      <c r="G26" s="193" t="s">
        <v>306</v>
      </c>
      <c r="J26" s="33"/>
      <c r="K26" s="34"/>
    </row>
    <row r="27" spans="2:11" s="32" customFormat="1" ht="18.75" x14ac:dyDescent="0.35">
      <c r="B27" s="150">
        <v>20</v>
      </c>
      <c r="C27" s="20" t="s">
        <v>32</v>
      </c>
      <c r="D27" s="20" t="s">
        <v>30</v>
      </c>
      <c r="E27" s="55">
        <v>1589.146</v>
      </c>
      <c r="F27" s="56">
        <f t="shared" si="0"/>
        <v>0.58501460957240459</v>
      </c>
      <c r="G27" s="193" t="s">
        <v>307</v>
      </c>
      <c r="J27" s="33"/>
      <c r="K27" s="34"/>
    </row>
    <row r="28" spans="2:11" s="1" customFormat="1" ht="18" x14ac:dyDescent="0.35">
      <c r="B28" s="150">
        <v>21</v>
      </c>
      <c r="C28" s="20" t="s">
        <v>26</v>
      </c>
      <c r="D28" s="20" t="s">
        <v>30</v>
      </c>
      <c r="E28" s="55">
        <v>1588.067</v>
      </c>
      <c r="F28" s="56">
        <f t="shared" si="0"/>
        <v>0.58461739574577787</v>
      </c>
      <c r="G28" s="193" t="s">
        <v>307</v>
      </c>
    </row>
    <row r="29" spans="2:11" s="1" customFormat="1" ht="18" x14ac:dyDescent="0.35">
      <c r="B29" s="150">
        <v>22</v>
      </c>
      <c r="C29" s="20" t="s">
        <v>157</v>
      </c>
      <c r="D29" s="20" t="s">
        <v>24</v>
      </c>
      <c r="E29" s="55">
        <v>1575.528</v>
      </c>
      <c r="F29" s="56">
        <f t="shared" si="0"/>
        <v>0.58000139558630326</v>
      </c>
      <c r="G29" s="193" t="s">
        <v>306</v>
      </c>
    </row>
    <row r="30" spans="2:11" s="1" customFormat="1" ht="18" x14ac:dyDescent="0.35">
      <c r="B30" s="150">
        <v>23</v>
      </c>
      <c r="C30" s="20" t="s">
        <v>37</v>
      </c>
      <c r="D30" s="20" t="s">
        <v>21</v>
      </c>
      <c r="E30" s="55">
        <v>1531.3330000000001</v>
      </c>
      <c r="F30" s="56">
        <f t="shared" si="0"/>
        <v>0.56373182647808262</v>
      </c>
      <c r="G30" s="193" t="s">
        <v>306</v>
      </c>
    </row>
    <row r="31" spans="2:11" s="1" customFormat="1" ht="18" x14ac:dyDescent="0.35">
      <c r="B31" s="150">
        <v>24</v>
      </c>
      <c r="C31" s="20" t="s">
        <v>30</v>
      </c>
      <c r="D31" s="20" t="s">
        <v>22</v>
      </c>
      <c r="E31" s="55">
        <v>1447.0709999999999</v>
      </c>
      <c r="F31" s="56">
        <f t="shared" si="0"/>
        <v>0.53271233485692882</v>
      </c>
      <c r="G31" s="193" t="s">
        <v>306</v>
      </c>
    </row>
    <row r="32" spans="2:11" s="1" customFormat="1" ht="18" x14ac:dyDescent="0.35">
      <c r="B32" s="150">
        <v>25</v>
      </c>
      <c r="C32" s="20" t="s">
        <v>213</v>
      </c>
      <c r="D32" s="20" t="s">
        <v>51</v>
      </c>
      <c r="E32" s="55">
        <v>1429.155</v>
      </c>
      <c r="F32" s="56">
        <f t="shared" si="0"/>
        <v>0.52611689193028832</v>
      </c>
      <c r="G32" s="193" t="s">
        <v>306</v>
      </c>
    </row>
    <row r="33" spans="2:7" s="1" customFormat="1" ht="18" x14ac:dyDescent="0.35">
      <c r="B33" s="150">
        <v>26</v>
      </c>
      <c r="C33" s="20" t="s">
        <v>194</v>
      </c>
      <c r="D33" s="20" t="s">
        <v>51</v>
      </c>
      <c r="E33" s="55">
        <v>1368.7460000000001</v>
      </c>
      <c r="F33" s="56">
        <f t="shared" si="0"/>
        <v>0.50387843961082901</v>
      </c>
      <c r="G33" s="193" t="s">
        <v>306</v>
      </c>
    </row>
    <row r="34" spans="2:7" s="1" customFormat="1" ht="18" x14ac:dyDescent="0.35">
      <c r="B34" s="150">
        <v>27</v>
      </c>
      <c r="C34" s="20" t="s">
        <v>127</v>
      </c>
      <c r="D34" s="20" t="s">
        <v>96</v>
      </c>
      <c r="E34" s="55">
        <v>1367.9159999999999</v>
      </c>
      <c r="F34" s="56">
        <f t="shared" si="0"/>
        <v>0.5035728905134238</v>
      </c>
      <c r="G34" s="193" t="s">
        <v>307</v>
      </c>
    </row>
    <row r="35" spans="2:7" s="1" customFormat="1" ht="18" x14ac:dyDescent="0.35">
      <c r="B35" s="150">
        <v>28</v>
      </c>
      <c r="C35" s="20" t="s">
        <v>259</v>
      </c>
      <c r="D35" s="20" t="s">
        <v>51</v>
      </c>
      <c r="E35" s="55">
        <v>1337.3710000000001</v>
      </c>
      <c r="F35" s="56">
        <f t="shared" si="0"/>
        <v>0.49232831559746953</v>
      </c>
      <c r="G35" s="193" t="s">
        <v>306</v>
      </c>
    </row>
    <row r="36" spans="2:7" s="1" customFormat="1" ht="18" x14ac:dyDescent="0.35">
      <c r="B36" s="150">
        <v>29</v>
      </c>
      <c r="C36" s="20" t="s">
        <v>26</v>
      </c>
      <c r="D36" s="20" t="s">
        <v>98</v>
      </c>
      <c r="E36" s="55">
        <v>1325.444</v>
      </c>
      <c r="F36" s="56">
        <f t="shared" si="0"/>
        <v>0.48793761188090101</v>
      </c>
      <c r="G36" s="193" t="s">
        <v>306</v>
      </c>
    </row>
    <row r="37" spans="2:7" s="1" customFormat="1" ht="18" x14ac:dyDescent="0.35">
      <c r="B37" s="150">
        <v>30</v>
      </c>
      <c r="C37" s="20" t="s">
        <v>80</v>
      </c>
      <c r="D37" s="20" t="s">
        <v>28</v>
      </c>
      <c r="E37" s="55">
        <v>1262.204</v>
      </c>
      <c r="F37" s="56">
        <f t="shared" si="0"/>
        <v>0.46465697944728007</v>
      </c>
      <c r="G37" s="193" t="s">
        <v>308</v>
      </c>
    </row>
    <row r="38" spans="2:7" s="1" customFormat="1" ht="18" x14ac:dyDescent="0.35">
      <c r="B38" s="150">
        <v>31</v>
      </c>
      <c r="C38" s="20" t="s">
        <v>34</v>
      </c>
      <c r="D38" s="20" t="s">
        <v>22</v>
      </c>
      <c r="E38" s="55">
        <v>1246.0519999999999</v>
      </c>
      <c r="F38" s="56">
        <f t="shared" si="0"/>
        <v>0.45871092038548616</v>
      </c>
      <c r="G38" s="193" t="s">
        <v>306</v>
      </c>
    </row>
    <row r="39" spans="2:7" s="1" customFormat="1" ht="18" x14ac:dyDescent="0.35">
      <c r="B39" s="150">
        <v>32</v>
      </c>
      <c r="C39" s="20" t="s">
        <v>42</v>
      </c>
      <c r="D39" s="20" t="s">
        <v>73</v>
      </c>
      <c r="E39" s="55">
        <v>1225.1559999999999</v>
      </c>
      <c r="F39" s="56">
        <f t="shared" si="0"/>
        <v>0.4510184457597281</v>
      </c>
      <c r="G39" s="193" t="s">
        <v>307</v>
      </c>
    </row>
    <row r="40" spans="2:7" s="1" customFormat="1" ht="18" x14ac:dyDescent="0.35">
      <c r="B40" s="150">
        <v>33</v>
      </c>
      <c r="C40" s="20" t="s">
        <v>129</v>
      </c>
      <c r="D40" s="20" t="s">
        <v>51</v>
      </c>
      <c r="E40" s="55">
        <v>1173.662</v>
      </c>
      <c r="F40" s="56">
        <f t="shared" si="0"/>
        <v>0.43206188525155498</v>
      </c>
      <c r="G40" s="193" t="s">
        <v>306</v>
      </c>
    </row>
    <row r="41" spans="2:7" s="1" customFormat="1" ht="18" x14ac:dyDescent="0.35">
      <c r="B41" s="150">
        <v>34</v>
      </c>
      <c r="C41" s="20" t="s">
        <v>280</v>
      </c>
      <c r="D41" s="20" t="s">
        <v>105</v>
      </c>
      <c r="E41" s="55">
        <v>1162.3050000000001</v>
      </c>
      <c r="F41" s="56">
        <f t="shared" si="0"/>
        <v>0.42788101645730081</v>
      </c>
      <c r="G41" s="193" t="s">
        <v>307</v>
      </c>
    </row>
    <row r="42" spans="2:7" s="1" customFormat="1" ht="18" x14ac:dyDescent="0.35">
      <c r="B42" s="150">
        <v>35</v>
      </c>
      <c r="C42" s="20" t="s">
        <v>112</v>
      </c>
      <c r="D42" s="20" t="s">
        <v>20</v>
      </c>
      <c r="E42" s="55">
        <v>1146.5350000000001</v>
      </c>
      <c r="F42" s="56">
        <f t="shared" si="0"/>
        <v>0.42207558360660191</v>
      </c>
      <c r="G42" s="193" t="s">
        <v>307</v>
      </c>
    </row>
    <row r="43" spans="2:7" s="1" customFormat="1" ht="18" x14ac:dyDescent="0.35">
      <c r="B43" s="150">
        <v>36</v>
      </c>
      <c r="C43" s="20" t="s">
        <v>26</v>
      </c>
      <c r="D43" s="20" t="s">
        <v>93</v>
      </c>
      <c r="E43" s="55">
        <v>1124.2560000000001</v>
      </c>
      <c r="F43" s="56">
        <f t="shared" si="0"/>
        <v>0.41387398319564933</v>
      </c>
      <c r="G43" s="193" t="s">
        <v>306</v>
      </c>
    </row>
    <row r="44" spans="2:7" s="1" customFormat="1" ht="18" x14ac:dyDescent="0.35">
      <c r="B44" s="150">
        <v>37</v>
      </c>
      <c r="C44" s="20" t="s">
        <v>120</v>
      </c>
      <c r="D44" s="20" t="s">
        <v>107</v>
      </c>
      <c r="E44" s="55">
        <v>1100.096</v>
      </c>
      <c r="F44" s="56">
        <f t="shared" si="0"/>
        <v>0.40497992754105916</v>
      </c>
      <c r="G44" s="193" t="s">
        <v>307</v>
      </c>
    </row>
    <row r="45" spans="2:7" s="1" customFormat="1" ht="18" x14ac:dyDescent="0.35">
      <c r="B45" s="150">
        <v>38</v>
      </c>
      <c r="C45" s="20" t="s">
        <v>279</v>
      </c>
      <c r="D45" s="20" t="s">
        <v>51</v>
      </c>
      <c r="E45" s="55">
        <v>1083.7940000000001</v>
      </c>
      <c r="F45" s="56">
        <f t="shared" si="0"/>
        <v>0.39897864876286676</v>
      </c>
      <c r="G45" s="193" t="s">
        <v>308</v>
      </c>
    </row>
    <row r="46" spans="2:7" s="1" customFormat="1" ht="18" x14ac:dyDescent="0.35">
      <c r="B46" s="150">
        <v>39</v>
      </c>
      <c r="C46" s="20" t="s">
        <v>30</v>
      </c>
      <c r="D46" s="20" t="s">
        <v>26</v>
      </c>
      <c r="E46" s="55">
        <v>1082.9169999999999</v>
      </c>
      <c r="F46" s="56">
        <f t="shared" si="0"/>
        <v>0.39865579748765667</v>
      </c>
      <c r="G46" s="193" t="s">
        <v>307</v>
      </c>
    </row>
    <row r="47" spans="2:7" s="1" customFormat="1" ht="18" x14ac:dyDescent="0.35">
      <c r="B47" s="150">
        <v>40</v>
      </c>
      <c r="C47" s="20" t="s">
        <v>34</v>
      </c>
      <c r="D47" s="20" t="s">
        <v>35</v>
      </c>
      <c r="E47" s="55">
        <v>1079.0129999999999</v>
      </c>
      <c r="F47" s="56">
        <f t="shared" si="0"/>
        <v>0.39721861233552419</v>
      </c>
      <c r="G47" s="193" t="s">
        <v>306</v>
      </c>
    </row>
    <row r="48" spans="2:7" s="1" customFormat="1" ht="18" x14ac:dyDescent="0.35">
      <c r="B48" s="150">
        <v>41</v>
      </c>
      <c r="C48" s="20" t="s">
        <v>41</v>
      </c>
      <c r="D48" s="20" t="s">
        <v>29</v>
      </c>
      <c r="E48" s="55">
        <v>1074.3820000000001</v>
      </c>
      <c r="F48" s="56">
        <f t="shared" si="0"/>
        <v>0.39551379562458033</v>
      </c>
      <c r="G48" s="193" t="s">
        <v>306</v>
      </c>
    </row>
    <row r="49" spans="2:11" s="1" customFormat="1" ht="18" x14ac:dyDescent="0.35">
      <c r="B49" s="150">
        <v>42</v>
      </c>
      <c r="C49" s="20" t="s">
        <v>190</v>
      </c>
      <c r="D49" s="20" t="s">
        <v>51</v>
      </c>
      <c r="E49" s="55">
        <v>1070.7429999999999</v>
      </c>
      <c r="F49" s="56">
        <f t="shared" si="0"/>
        <v>0.39417416530475186</v>
      </c>
      <c r="G49" s="193" t="s">
        <v>306</v>
      </c>
    </row>
    <row r="50" spans="2:11" s="1" customFormat="1" ht="18" x14ac:dyDescent="0.35">
      <c r="B50" s="150">
        <v>43</v>
      </c>
      <c r="C50" s="20" t="s">
        <v>278</v>
      </c>
      <c r="D50" s="20" t="s">
        <v>113</v>
      </c>
      <c r="E50" s="55">
        <v>1048.7139999999999</v>
      </c>
      <c r="F50" s="56">
        <f t="shared" si="0"/>
        <v>0.38606459775446356</v>
      </c>
      <c r="G50" s="193" t="s">
        <v>307</v>
      </c>
    </row>
    <row r="51" spans="2:11" s="1" customFormat="1" ht="18" x14ac:dyDescent="0.35">
      <c r="B51" s="156">
        <v>44</v>
      </c>
      <c r="C51" s="29" t="s">
        <v>184</v>
      </c>
      <c r="D51" s="29" t="s">
        <v>24</v>
      </c>
      <c r="E51" s="55">
        <v>1020.162</v>
      </c>
      <c r="F51" s="56">
        <f t="shared" si="0"/>
        <v>0.37555370880372446</v>
      </c>
      <c r="G51" s="194" t="s">
        <v>306</v>
      </c>
    </row>
    <row r="52" spans="2:11" s="1" customFormat="1" ht="18" x14ac:dyDescent="0.35">
      <c r="B52" s="153">
        <v>45</v>
      </c>
      <c r="C52" s="159" t="s">
        <v>305</v>
      </c>
      <c r="D52" s="159" t="s">
        <v>305</v>
      </c>
      <c r="E52" s="151">
        <v>182939.45899999808</v>
      </c>
      <c r="F52" s="152">
        <f t="shared" si="0"/>
        <v>67.345766960537802</v>
      </c>
      <c r="G52" s="195" t="s">
        <v>290</v>
      </c>
      <c r="H52"/>
    </row>
    <row r="53" spans="2:11" s="1" customFormat="1" ht="12.75" customHeight="1" x14ac:dyDescent="0.35">
      <c r="B53" s="120"/>
      <c r="E53" s="35"/>
      <c r="G53" s="196"/>
    </row>
    <row r="54" spans="2:11" ht="60.75" customHeight="1" x14ac:dyDescent="0.25">
      <c r="B54" s="290" t="s">
        <v>315</v>
      </c>
      <c r="C54" s="290"/>
      <c r="D54" s="290"/>
      <c r="E54" s="290"/>
      <c r="F54" s="290"/>
      <c r="G54" s="290"/>
    </row>
    <row r="55" spans="2:11" x14ac:dyDescent="0.25">
      <c r="B55" s="281" t="s">
        <v>359</v>
      </c>
      <c r="C55" s="281"/>
      <c r="D55" s="281"/>
      <c r="E55" s="281"/>
      <c r="F55" s="281"/>
      <c r="G55" s="281"/>
      <c r="H55" s="281"/>
      <c r="I55" s="281"/>
      <c r="J55" s="281"/>
      <c r="K55" s="281"/>
    </row>
    <row r="56" spans="2:11" x14ac:dyDescent="0.25">
      <c r="B56" s="281" t="s">
        <v>355</v>
      </c>
      <c r="C56" s="281"/>
      <c r="D56" s="281"/>
      <c r="E56" s="281"/>
      <c r="F56" s="281"/>
      <c r="G56" s="281"/>
      <c r="H56" s="281"/>
      <c r="I56" s="281"/>
      <c r="J56" s="281"/>
      <c r="K56" s="281"/>
    </row>
    <row r="57" spans="2:11" x14ac:dyDescent="0.25">
      <c r="B57" s="18" t="s">
        <v>358</v>
      </c>
      <c r="E57" s="117"/>
      <c r="F57" s="117"/>
      <c r="H57" s="117"/>
      <c r="I57" s="117"/>
      <c r="J57" s="117"/>
      <c r="K57" s="117"/>
    </row>
  </sheetData>
  <mergeCells count="4">
    <mergeCell ref="B54:G54"/>
    <mergeCell ref="B55:K55"/>
    <mergeCell ref="B56:K56"/>
    <mergeCell ref="B7:D7"/>
  </mergeCells>
  <hyperlinks>
    <hyperlink ref="C57" r:id="rId1" display="http://www.un.org/en/development/desa/population/migration/data/empirical2/index.shtml"/>
    <hyperlink ref="G4" location="Contenido!A1" display="Contenido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showGridLines="0" zoomScaleNormal="100" workbookViewId="0">
      <selection activeCell="B4" sqref="B4"/>
    </sheetView>
  </sheetViews>
  <sheetFormatPr baseColWidth="10" defaultColWidth="11.42578125" defaultRowHeight="18" x14ac:dyDescent="0.35"/>
  <cols>
    <col min="1" max="1" width="2.85546875" style="1" customWidth="1"/>
    <col min="2" max="2" width="15.85546875" style="1" customWidth="1"/>
    <col min="3" max="3" width="23.42578125" style="121" customWidth="1"/>
    <col min="4" max="5" width="23.42578125" style="160" customWidth="1"/>
    <col min="6" max="6" width="23.42578125" style="1" customWidth="1"/>
    <col min="7" max="7" width="38.7109375" style="1" customWidth="1"/>
    <col min="8" max="16384" width="11.42578125" style="1"/>
  </cols>
  <sheetData>
    <row r="2" spans="2:7" ht="18" customHeight="1" x14ac:dyDescent="0.35">
      <c r="F2" s="82"/>
      <c r="G2" s="82"/>
    </row>
    <row r="3" spans="2:7" ht="18" customHeight="1" x14ac:dyDescent="0.35">
      <c r="E3" s="82"/>
      <c r="F3" s="82"/>
      <c r="G3" s="303"/>
    </row>
    <row r="4" spans="2:7" ht="18" customHeight="1" x14ac:dyDescent="0.35">
      <c r="B4" s="306" t="s">
        <v>349</v>
      </c>
      <c r="C4" s="306"/>
      <c r="D4" s="306"/>
      <c r="E4" s="306"/>
      <c r="F4" s="306"/>
      <c r="G4" s="303" t="s">
        <v>363</v>
      </c>
    </row>
    <row r="5" spans="2:7" ht="18" customHeight="1" x14ac:dyDescent="0.35">
      <c r="B5" s="3"/>
      <c r="C5" s="114"/>
      <c r="D5" s="166"/>
      <c r="E5" s="82"/>
      <c r="F5" s="82"/>
      <c r="G5" s="82"/>
    </row>
    <row r="6" spans="2:7" x14ac:dyDescent="0.35">
      <c r="B6" s="72" t="s">
        <v>76</v>
      </c>
      <c r="C6" s="72" t="s">
        <v>300</v>
      </c>
      <c r="D6" s="274" t="s">
        <v>52</v>
      </c>
      <c r="E6" s="274" t="s">
        <v>50</v>
      </c>
      <c r="F6" s="72" t="s">
        <v>63</v>
      </c>
      <c r="G6" s="164" t="s">
        <v>86</v>
      </c>
    </row>
    <row r="7" spans="2:7" x14ac:dyDescent="0.35">
      <c r="B7" s="294" t="s">
        <v>313</v>
      </c>
      <c r="C7" s="294"/>
      <c r="D7" s="294"/>
      <c r="E7" s="294"/>
      <c r="F7" s="266">
        <f>F14+F21+F28+F35</f>
        <v>271641.88400000002</v>
      </c>
      <c r="G7" s="170" t="s">
        <v>290</v>
      </c>
    </row>
    <row r="8" spans="2:7" x14ac:dyDescent="0.35">
      <c r="B8" s="295" t="s">
        <v>79</v>
      </c>
      <c r="C8" s="165">
        <v>1</v>
      </c>
      <c r="D8" s="167" t="s">
        <v>38</v>
      </c>
      <c r="E8" s="168" t="s">
        <v>21</v>
      </c>
      <c r="F8" s="267">
        <f>1784839/1000</f>
        <v>1784.8389999999999</v>
      </c>
      <c r="G8" s="48">
        <f>(F8/$F$14)*100</f>
        <v>4.2902825181129352</v>
      </c>
    </row>
    <row r="9" spans="2:7" x14ac:dyDescent="0.35">
      <c r="B9" s="295"/>
      <c r="C9" s="165">
        <v>2</v>
      </c>
      <c r="D9" s="167" t="s">
        <v>80</v>
      </c>
      <c r="E9" s="168" t="s">
        <v>28</v>
      </c>
      <c r="F9" s="268">
        <f>1262204/1000</f>
        <v>1262.204</v>
      </c>
      <c r="G9" s="48">
        <f t="shared" ref="G9:G14" si="0">(F9/$F$14)*100</f>
        <v>3.0340057313249091</v>
      </c>
    </row>
    <row r="10" spans="2:7" x14ac:dyDescent="0.35">
      <c r="B10" s="295"/>
      <c r="C10" s="165">
        <v>3</v>
      </c>
      <c r="D10" s="167" t="s">
        <v>279</v>
      </c>
      <c r="E10" s="169" t="s">
        <v>51</v>
      </c>
      <c r="F10" s="267">
        <f>1083794/1000</f>
        <v>1083.7940000000001</v>
      </c>
      <c r="G10" s="48">
        <f t="shared" si="0"/>
        <v>2.6051551156354669</v>
      </c>
    </row>
    <row r="11" spans="2:7" x14ac:dyDescent="0.35">
      <c r="B11" s="295"/>
      <c r="C11" s="165">
        <v>4</v>
      </c>
      <c r="D11" s="167" t="s">
        <v>38</v>
      </c>
      <c r="E11" s="168" t="s">
        <v>80</v>
      </c>
      <c r="F11" s="268">
        <f>914022/1000</f>
        <v>914.02200000000005</v>
      </c>
      <c r="G11" s="48">
        <f t="shared" si="0"/>
        <v>2.1970679751902678</v>
      </c>
    </row>
    <row r="12" spans="2:7" x14ac:dyDescent="0.35">
      <c r="B12" s="295"/>
      <c r="C12" s="165">
        <v>5</v>
      </c>
      <c r="D12" s="10" t="s">
        <v>23</v>
      </c>
      <c r="E12" s="64" t="s">
        <v>51</v>
      </c>
      <c r="F12" s="269">
        <f>825040/1000</f>
        <v>825.04</v>
      </c>
      <c r="G12" s="48">
        <f t="shared" si="0"/>
        <v>1.9831787005684527</v>
      </c>
    </row>
    <row r="13" spans="2:7" x14ac:dyDescent="0.35">
      <c r="B13" s="59"/>
      <c r="C13" s="165"/>
      <c r="D13" s="10" t="s">
        <v>87</v>
      </c>
      <c r="E13" s="64" t="s">
        <v>87</v>
      </c>
      <c r="F13" s="269">
        <v>35732</v>
      </c>
      <c r="G13" s="48">
        <f t="shared" si="0"/>
        <v>85.890309959167979</v>
      </c>
    </row>
    <row r="14" spans="2:7" x14ac:dyDescent="0.35">
      <c r="B14" s="292" t="s">
        <v>310</v>
      </c>
      <c r="C14" s="292"/>
      <c r="D14" s="292"/>
      <c r="E14" s="292"/>
      <c r="F14" s="270">
        <f>SUM(F8:F13)</f>
        <v>41601.898999999998</v>
      </c>
      <c r="G14" s="88">
        <f t="shared" si="0"/>
        <v>100</v>
      </c>
    </row>
    <row r="15" spans="2:7" x14ac:dyDescent="0.35">
      <c r="B15" s="296" t="s">
        <v>81</v>
      </c>
      <c r="C15" s="21">
        <v>1</v>
      </c>
      <c r="D15" s="163" t="s">
        <v>51</v>
      </c>
      <c r="E15" s="54" t="s">
        <v>33</v>
      </c>
      <c r="F15" s="271">
        <f>762290/1000</f>
        <v>762.29</v>
      </c>
      <c r="G15" s="17">
        <f t="shared" ref="G15:G20" si="1">(F15*100)/F$21</f>
        <v>10.377550109127029</v>
      </c>
    </row>
    <row r="16" spans="2:7" x14ac:dyDescent="0.35">
      <c r="B16" s="296"/>
      <c r="C16" s="21">
        <v>2</v>
      </c>
      <c r="D16" s="37" t="s">
        <v>21</v>
      </c>
      <c r="E16" s="37" t="s">
        <v>37</v>
      </c>
      <c r="F16" s="271">
        <f>371430/1000</f>
        <v>371.43</v>
      </c>
      <c r="G16" s="17">
        <f t="shared" si="1"/>
        <v>5.0565184339727036</v>
      </c>
    </row>
    <row r="17" spans="2:7" x14ac:dyDescent="0.35">
      <c r="B17" s="296"/>
      <c r="C17" s="21">
        <v>3</v>
      </c>
      <c r="D17" s="37" t="s">
        <v>82</v>
      </c>
      <c r="E17" s="163" t="s">
        <v>83</v>
      </c>
      <c r="F17" s="271">
        <f>287762/1000</f>
        <v>287.762</v>
      </c>
      <c r="G17" s="17">
        <f t="shared" si="1"/>
        <v>3.9174914724089414</v>
      </c>
    </row>
    <row r="18" spans="2:7" x14ac:dyDescent="0.35">
      <c r="B18" s="296"/>
      <c r="C18" s="21">
        <v>4</v>
      </c>
      <c r="D18" s="163" t="s">
        <v>75</v>
      </c>
      <c r="E18" s="163" t="s">
        <v>43</v>
      </c>
      <c r="F18" s="271">
        <f>284848/1000</f>
        <v>284.84800000000001</v>
      </c>
      <c r="G18" s="17">
        <f t="shared" si="1"/>
        <v>3.8778212930572566</v>
      </c>
    </row>
    <row r="19" spans="2:7" x14ac:dyDescent="0.35">
      <c r="B19" s="296"/>
      <c r="C19" s="21">
        <v>5</v>
      </c>
      <c r="D19" s="163" t="s">
        <v>84</v>
      </c>
      <c r="E19" s="37" t="s">
        <v>85</v>
      </c>
      <c r="F19" s="271">
        <f>216855/1000</f>
        <v>216.85499999999999</v>
      </c>
      <c r="G19" s="17">
        <f t="shared" si="1"/>
        <v>2.9521883127349717</v>
      </c>
    </row>
    <row r="20" spans="2:7" x14ac:dyDescent="0.35">
      <c r="B20" s="59"/>
      <c r="C20" s="165"/>
      <c r="D20" s="10" t="s">
        <v>87</v>
      </c>
      <c r="E20" s="64" t="s">
        <v>87</v>
      </c>
      <c r="F20" s="268">
        <v>5422.3829999999998</v>
      </c>
      <c r="G20" s="17">
        <f t="shared" si="1"/>
        <v>73.818430378699105</v>
      </c>
    </row>
    <row r="21" spans="2:7" x14ac:dyDescent="0.35">
      <c r="B21" s="292" t="s">
        <v>311</v>
      </c>
      <c r="C21" s="292"/>
      <c r="D21" s="292"/>
      <c r="E21" s="292"/>
      <c r="F21" s="270">
        <f>SUM(F15:F20)</f>
        <v>7345.5679999999993</v>
      </c>
      <c r="G21" s="88">
        <f>SUM(G15:G20)</f>
        <v>100</v>
      </c>
    </row>
    <row r="22" spans="2:7" x14ac:dyDescent="0.35">
      <c r="B22" s="296" t="s">
        <v>77</v>
      </c>
      <c r="C22" s="21">
        <v>1</v>
      </c>
      <c r="D22" s="163" t="s">
        <v>33</v>
      </c>
      <c r="E22" s="163" t="s">
        <v>51</v>
      </c>
      <c r="F22" s="271">
        <f>11489684/1000</f>
        <v>11489.683999999999</v>
      </c>
      <c r="G22" s="17">
        <f t="shared" ref="G22:G27" si="2">(F22*100)/F$28</f>
        <v>8.7045180683756804</v>
      </c>
    </row>
    <row r="23" spans="2:7" x14ac:dyDescent="0.35">
      <c r="B23" s="296"/>
      <c r="C23" s="21">
        <v>2</v>
      </c>
      <c r="D23" s="54" t="s">
        <v>26</v>
      </c>
      <c r="E23" s="54" t="s">
        <v>35</v>
      </c>
      <c r="F23" s="55">
        <f>3419875/1000</f>
        <v>3419.875</v>
      </c>
      <c r="G23" s="17">
        <f t="shared" si="2"/>
        <v>2.5908774975087461</v>
      </c>
    </row>
    <row r="24" spans="2:7" x14ac:dyDescent="0.35">
      <c r="B24" s="296"/>
      <c r="C24" s="21">
        <v>3</v>
      </c>
      <c r="D24" s="54" t="s">
        <v>43</v>
      </c>
      <c r="E24" s="54" t="s">
        <v>51</v>
      </c>
      <c r="F24" s="269">
        <f>2899267/1000</f>
        <v>2899.2669999999998</v>
      </c>
      <c r="G24" s="17">
        <f t="shared" si="2"/>
        <v>2.1964678912444717</v>
      </c>
    </row>
    <row r="25" spans="2:7" x14ac:dyDescent="0.35">
      <c r="B25" s="296"/>
      <c r="C25" s="21">
        <v>4</v>
      </c>
      <c r="D25" s="163" t="s">
        <v>26</v>
      </c>
      <c r="E25" s="163" t="s">
        <v>51</v>
      </c>
      <c r="F25" s="271">
        <v>2661.47</v>
      </c>
      <c r="G25" s="17">
        <f t="shared" si="2"/>
        <v>2.0163142609874929</v>
      </c>
    </row>
    <row r="26" spans="2:7" x14ac:dyDescent="0.35">
      <c r="B26" s="296"/>
      <c r="C26" s="21">
        <v>5</v>
      </c>
      <c r="D26" s="175" t="s">
        <v>26</v>
      </c>
      <c r="E26" s="54" t="s">
        <v>22</v>
      </c>
      <c r="F26" s="272">
        <f>2440489/1000</f>
        <v>2440.489</v>
      </c>
      <c r="G26" s="17">
        <f t="shared" si="2"/>
        <v>1.8489003349589157</v>
      </c>
    </row>
    <row r="27" spans="2:7" x14ac:dyDescent="0.35">
      <c r="B27" s="59"/>
      <c r="C27" s="165"/>
      <c r="D27" s="10" t="s">
        <v>87</v>
      </c>
      <c r="E27" s="64" t="s">
        <v>87</v>
      </c>
      <c r="F27" s="272">
        <v>109086</v>
      </c>
      <c r="G27" s="17">
        <f t="shared" si="2"/>
        <v>82.642921946924687</v>
      </c>
    </row>
    <row r="28" spans="2:7" x14ac:dyDescent="0.35">
      <c r="B28" s="292" t="s">
        <v>312</v>
      </c>
      <c r="C28" s="292"/>
      <c r="D28" s="292"/>
      <c r="E28" s="292"/>
      <c r="F28" s="270">
        <f>SUM(F22:F27)</f>
        <v>131996.785</v>
      </c>
      <c r="G28" s="88">
        <f>SUM(G22:G27)</f>
        <v>100</v>
      </c>
    </row>
    <row r="29" spans="2:7" x14ac:dyDescent="0.35">
      <c r="B29" s="296" t="s">
        <v>78</v>
      </c>
      <c r="C29" s="21">
        <v>1</v>
      </c>
      <c r="D29" s="54" t="s">
        <v>280</v>
      </c>
      <c r="E29" s="54" t="s">
        <v>37</v>
      </c>
      <c r="F29" s="55">
        <f>3743494/1000</f>
        <v>3743.4940000000001</v>
      </c>
      <c r="G29" s="60">
        <f t="shared" ref="G29:G34" si="3">(F29*100)/F$35</f>
        <v>4.1274440329379276</v>
      </c>
    </row>
    <row r="30" spans="2:7" x14ac:dyDescent="0.35">
      <c r="B30" s="296"/>
      <c r="C30" s="21">
        <v>2</v>
      </c>
      <c r="D30" s="54" t="s">
        <v>20</v>
      </c>
      <c r="E30" s="54" t="s">
        <v>27</v>
      </c>
      <c r="F30" s="269">
        <f>3308515/1000</f>
        <v>3308.5149999999999</v>
      </c>
      <c r="G30" s="60">
        <f t="shared" si="3"/>
        <v>3.6478515778669944</v>
      </c>
    </row>
    <row r="31" spans="2:7" x14ac:dyDescent="0.35">
      <c r="B31" s="296"/>
      <c r="C31" s="21">
        <v>3</v>
      </c>
      <c r="D31" s="54" t="s">
        <v>27</v>
      </c>
      <c r="E31" s="54" t="s">
        <v>20</v>
      </c>
      <c r="F31" s="269">
        <f>3269248/1000</f>
        <v>3269.248</v>
      </c>
      <c r="G31" s="60">
        <f t="shared" si="3"/>
        <v>3.6045571730031494</v>
      </c>
    </row>
    <row r="32" spans="2:7" s="63" customFormat="1" x14ac:dyDescent="0.35">
      <c r="B32" s="296"/>
      <c r="C32" s="21">
        <v>4</v>
      </c>
      <c r="D32" s="54" t="s">
        <v>34</v>
      </c>
      <c r="E32" s="54" t="s">
        <v>26</v>
      </c>
      <c r="F32" s="269">
        <f>3103664/1000</f>
        <v>3103.6640000000002</v>
      </c>
      <c r="G32" s="60">
        <f t="shared" si="3"/>
        <v>3.4219901132589663</v>
      </c>
    </row>
    <row r="33" spans="2:8" x14ac:dyDescent="0.35">
      <c r="B33" s="296"/>
      <c r="C33" s="21">
        <v>5</v>
      </c>
      <c r="D33" s="54" t="s">
        <v>44</v>
      </c>
      <c r="E33" s="54" t="s">
        <v>20</v>
      </c>
      <c r="F33" s="269">
        <f>2559711/1000</f>
        <v>2559.7109999999998</v>
      </c>
      <c r="G33" s="60">
        <f t="shared" si="3"/>
        <v>2.8222467814815713</v>
      </c>
    </row>
    <row r="34" spans="2:8" s="62" customFormat="1" ht="13.5" x14ac:dyDescent="0.25">
      <c r="B34" s="59"/>
      <c r="C34" s="165"/>
      <c r="D34" s="10" t="s">
        <v>87</v>
      </c>
      <c r="E34" s="64" t="s">
        <v>87</v>
      </c>
      <c r="F34" s="268">
        <v>74713</v>
      </c>
      <c r="G34" s="60">
        <f t="shared" si="3"/>
        <v>82.3759103214514</v>
      </c>
    </row>
    <row r="35" spans="2:8" x14ac:dyDescent="0.35">
      <c r="B35" s="293" t="s">
        <v>341</v>
      </c>
      <c r="C35" s="293"/>
      <c r="D35" s="293"/>
      <c r="E35" s="293"/>
      <c r="F35" s="273">
        <f>SUM(F29:F34)</f>
        <v>90697.631999999998</v>
      </c>
      <c r="G35" s="174">
        <f>SUM(G29:G34)</f>
        <v>100.00000000000001</v>
      </c>
    </row>
    <row r="36" spans="2:8" ht="12" customHeight="1" x14ac:dyDescent="0.35">
      <c r="B36" s="20"/>
      <c r="C36" s="21"/>
      <c r="D36" s="37"/>
      <c r="E36" s="37"/>
      <c r="F36" s="61"/>
      <c r="G36" s="60"/>
    </row>
    <row r="37" spans="2:8" x14ac:dyDescent="0.35">
      <c r="B37" s="300" t="s">
        <v>362</v>
      </c>
      <c r="C37" s="300"/>
      <c r="D37" s="300"/>
      <c r="E37" s="300"/>
      <c r="F37" s="300"/>
      <c r="G37" s="300"/>
      <c r="H37" s="300"/>
    </row>
    <row r="38" spans="2:8" ht="14.25" customHeight="1" x14ac:dyDescent="0.35">
      <c r="B38" s="281" t="s">
        <v>359</v>
      </c>
      <c r="C38" s="281"/>
      <c r="D38" s="281"/>
      <c r="E38" s="281"/>
      <c r="F38" s="281"/>
      <c r="G38" s="281"/>
      <c r="H38" s="281"/>
    </row>
    <row r="39" spans="2:8" ht="17.25" customHeight="1" x14ac:dyDescent="0.35">
      <c r="B39" s="281" t="s">
        <v>355</v>
      </c>
      <c r="C39" s="281"/>
      <c r="D39" s="281"/>
      <c r="E39" s="224"/>
      <c r="F39" s="224"/>
      <c r="G39" s="224"/>
      <c r="H39" s="224"/>
    </row>
    <row r="40" spans="2:8" x14ac:dyDescent="0.35">
      <c r="B40" s="18" t="s">
        <v>358</v>
      </c>
      <c r="C40" s="18"/>
      <c r="D40" s="18"/>
      <c r="E40" s="117"/>
      <c r="F40" s="117"/>
      <c r="G40" s="117"/>
      <c r="H40" s="117"/>
    </row>
  </sheetData>
  <mergeCells count="11">
    <mergeCell ref="B39:D39"/>
    <mergeCell ref="B38:H38"/>
    <mergeCell ref="B14:E14"/>
    <mergeCell ref="B21:E21"/>
    <mergeCell ref="B28:E28"/>
    <mergeCell ref="B35:E35"/>
    <mergeCell ref="B7:E7"/>
    <mergeCell ref="B8:B12"/>
    <mergeCell ref="B15:B19"/>
    <mergeCell ref="B22:B26"/>
    <mergeCell ref="B29:B33"/>
  </mergeCells>
  <hyperlinks>
    <hyperlink ref="C40" r:id="rId1" display="http://www.un.org/en/development/desa/population/migration/data/empirical2/index.shtml"/>
    <hyperlink ref="G4" location="Contenido!A1" display="Contenido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CONTENIDO</vt:lpstr>
      <vt:lpstr>1.1. Tot. Pob mund y mig</vt:lpstr>
      <vt:lpstr>1.2 Pob migr. Grupos de edad</vt:lpstr>
      <vt:lpstr>1.3 Pob Inmg por país</vt:lpstr>
      <vt:lpstr>1.4.Pob Emig por país</vt:lpstr>
      <vt:lpstr>1.5. Regiones mig.int</vt:lpstr>
      <vt:lpstr>1.6. Stock Corredores</vt:lpstr>
      <vt:lpstr>1.7. Prin. Corredores por Dir.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 Servicio Social 01</dc:creator>
  <cp:lastModifiedBy>Lopez Vega Rafael</cp:lastModifiedBy>
  <cp:lastPrinted>2018-01-22T17:29:45Z</cp:lastPrinted>
  <dcterms:created xsi:type="dcterms:W3CDTF">2015-07-17T14:22:37Z</dcterms:created>
  <dcterms:modified xsi:type="dcterms:W3CDTF">2021-01-04T18:22:07Z</dcterms:modified>
</cp:coreProperties>
</file>